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6630" activeTab="2"/>
  </bookViews>
  <sheets>
    <sheet name="B 93" sheetId="1" r:id="rId1"/>
    <sheet name="B 94" sheetId="2" r:id="rId2"/>
    <sheet name="B 95" sheetId="3" r:id="rId3"/>
  </sheets>
  <externalReferences>
    <externalReference r:id="rId4"/>
  </externalReferences>
  <calcPr calcId="144525"/>
  <fileRecoveryPr repairLoad="1"/>
</workbook>
</file>

<file path=xl/calcChain.xml><?xml version="1.0" encoding="utf-8"?>
<calcChain xmlns="http://schemas.openxmlformats.org/spreadsheetml/2006/main">
  <c r="D24" i="1" l="1"/>
  <c r="D20" i="1"/>
  <c r="D19" i="1"/>
  <c r="D12" i="1" l="1"/>
  <c r="D25" i="3"/>
  <c r="D20" i="3"/>
  <c r="D13" i="3"/>
  <c r="D19" i="2" l="1"/>
  <c r="D11" i="2" s="1"/>
  <c r="D14" i="2"/>
  <c r="C11" i="2"/>
  <c r="D27" i="2"/>
  <c r="D26" i="2"/>
  <c r="D23" i="2"/>
  <c r="D22" i="2"/>
  <c r="D18" i="2"/>
  <c r="D17" i="2"/>
  <c r="D15" i="2"/>
  <c r="K14" i="3" l="1"/>
  <c r="K13" i="3"/>
  <c r="K11" i="3"/>
  <c r="K6" i="3"/>
  <c r="F42" i="3"/>
  <c r="F36" i="3"/>
  <c r="F34" i="3"/>
  <c r="F33" i="3"/>
  <c r="F32" i="3"/>
  <c r="F31" i="3"/>
  <c r="F30" i="3"/>
  <c r="F29" i="3"/>
  <c r="F28" i="3"/>
  <c r="F25" i="3"/>
  <c r="F24" i="3"/>
  <c r="F22" i="3"/>
  <c r="F15" i="3"/>
  <c r="F14" i="3"/>
  <c r="F31" i="2"/>
  <c r="F30" i="2"/>
  <c r="F27" i="2"/>
  <c r="F26" i="2"/>
  <c r="F23" i="2"/>
  <c r="F22" i="2"/>
  <c r="F21" i="2"/>
  <c r="F18" i="2"/>
  <c r="F17" i="2"/>
  <c r="F15" i="2"/>
  <c r="F24" i="1"/>
  <c r="F20" i="1"/>
  <c r="F19" i="1"/>
  <c r="F15" i="1"/>
  <c r="F14" i="1"/>
  <c r="F12" i="1"/>
  <c r="C25" i="3" l="1"/>
  <c r="C13" i="3"/>
  <c r="F18" i="3"/>
  <c r="C12" i="1"/>
  <c r="E13" i="3" l="1"/>
  <c r="F13" i="3"/>
  <c r="F37" i="3"/>
  <c r="F16" i="3"/>
  <c r="F25" i="1" l="1"/>
  <c r="F23" i="1"/>
  <c r="C20" i="3" l="1"/>
  <c r="E18" i="3" l="1"/>
  <c r="F43" i="3" l="1"/>
  <c r="F22" i="1"/>
  <c r="E22" i="1" l="1"/>
  <c r="E36" i="3"/>
  <c r="D39" i="3"/>
  <c r="F39" i="3" s="1"/>
  <c r="C39" i="3"/>
  <c r="E39" i="3" l="1"/>
  <c r="F40" i="3" l="1"/>
  <c r="F41" i="3"/>
  <c r="F20" i="2"/>
  <c r="E12" i="1"/>
  <c r="I25" i="1" l="1"/>
  <c r="E20" i="1" l="1"/>
  <c r="E24" i="1"/>
  <c r="C18" i="1" l="1"/>
  <c r="D18" i="1"/>
  <c r="F18" i="1" s="1"/>
  <c r="E19" i="1"/>
  <c r="D11" i="1"/>
  <c r="F11" i="1" s="1"/>
  <c r="C11" i="1"/>
  <c r="C10" i="1" s="1"/>
  <c r="E33" i="3"/>
  <c r="E32" i="3"/>
  <c r="F20" i="3"/>
  <c r="H20" i="3"/>
  <c r="E34" i="3"/>
  <c r="E15" i="3"/>
  <c r="E22" i="3"/>
  <c r="E23" i="3"/>
  <c r="E24" i="3"/>
  <c r="E25" i="3"/>
  <c r="E28" i="3"/>
  <c r="E29" i="3"/>
  <c r="E30" i="3"/>
  <c r="E31" i="3"/>
  <c r="E42" i="3"/>
  <c r="F19" i="2"/>
  <c r="C19" i="2"/>
  <c r="E27" i="2"/>
  <c r="D29" i="2"/>
  <c r="F29" i="2" s="1"/>
  <c r="C29" i="2"/>
  <c r="E22" i="2"/>
  <c r="E15" i="2"/>
  <c r="E17" i="2"/>
  <c r="E18" i="2"/>
  <c r="E21" i="2"/>
  <c r="E23" i="2"/>
  <c r="E26" i="2"/>
  <c r="E30" i="2"/>
  <c r="E31" i="2"/>
  <c r="E15" i="1"/>
  <c r="E14" i="1"/>
  <c r="D17" i="1" l="1"/>
  <c r="F17" i="1" s="1"/>
  <c r="D12" i="3"/>
  <c r="F12" i="3" s="1"/>
  <c r="C10" i="2"/>
  <c r="E19" i="2"/>
  <c r="E29" i="2"/>
  <c r="D10" i="1"/>
  <c r="F10" i="1" s="1"/>
  <c r="C17" i="1"/>
  <c r="E18" i="1"/>
  <c r="E11" i="1"/>
  <c r="C12" i="3"/>
  <c r="C11" i="3" s="1"/>
  <c r="H11" i="3" s="1"/>
  <c r="E20" i="3"/>
  <c r="D11" i="3" l="1"/>
  <c r="F11" i="3" s="1"/>
  <c r="E10" i="1"/>
  <c r="E12" i="3"/>
  <c r="E17" i="1"/>
  <c r="E14" i="3"/>
  <c r="E11" i="3" l="1"/>
  <c r="E14" i="2"/>
  <c r="F14" i="2"/>
  <c r="E11" i="2"/>
  <c r="D10" i="2" l="1"/>
  <c r="F11" i="2"/>
  <c r="E10" i="2" l="1"/>
  <c r="F10" i="2"/>
</calcChain>
</file>

<file path=xl/sharedStrings.xml><?xml version="1.0" encoding="utf-8"?>
<sst xmlns="http://schemas.openxmlformats.org/spreadsheetml/2006/main" count="140" uniqueCount="96">
  <si>
    <t>Biểu số 93/CK-NSNN</t>
  </si>
  <si>
    <t>Đơn vị: Triệu đồng</t>
  </si>
  <si>
    <t>STT</t>
  </si>
  <si>
    <t>NỘI DUNG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</si>
  <si>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</si>
  <si>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</si>
  <si>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</si>
  <si>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</si>
  <si>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</si>
  <si>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</si>
  <si>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</si>
  <si>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</si>
  <si>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</si>
  <si>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</si>
  <si>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</si>
  <si>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</si>
  <si>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</si>
  <si>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</si>
  <si>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</si>
  <si>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</si>
  <si>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</si>
  <si>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</si>
  <si>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</si>
  <si>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Chi từ nguồn bổ sung có mục tiêu từ NS cấp tỉnh</t>
  </si>
  <si>
    <t>ỦY BAN NHÂN DÂN</t>
  </si>
  <si>
    <t>HUYỆN TÂN CHÂU</t>
  </si>
  <si>
    <t>So với cùng kỳ</t>
  </si>
  <si>
    <t>Thu bổ sung cân đối từ NS tỉnh</t>
  </si>
  <si>
    <t>Thu từ bổ sung có mục tiêu NS tỉnh</t>
  </si>
  <si>
    <t>Thu từ khu vực doanh nghiệp nhà nước</t>
  </si>
  <si>
    <t>Thu từ khu vực doanh nghiệp có vốn đầu tư nước ngoài</t>
  </si>
  <si>
    <t>Thu từ khu vực kinh tế ngoài quốc doanh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</si>
  <si>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</si>
  <si>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</si>
  <si>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</si>
  <si>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</si>
  <si>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</si>
  <si>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</si>
  <si>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</si>
  <si>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</si>
  <si>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Tiền cho thuê đất, thuê mặt nước</t>
  </si>
  <si>
    <t>Tiền cho thuê và tiền bán nhà ở thuộc sở hữu nhà nước</t>
  </si>
  <si>
    <t>Thu từ hoạt động xổ số kiến thiết</t>
  </si>
  <si>
    <t>Thu khác ngân sách</t>
  </si>
  <si>
    <t xml:space="preserve">THU NGÂN SÁCH HUYỆN ĐƯỢC HƯỞNG THEO PHÂN CẤP </t>
  </si>
  <si>
    <t>Từ các khoản thu phân chia</t>
  </si>
  <si>
    <t>Các khoản thu ngân sách huyện được hưởng 100%</t>
  </si>
  <si>
    <t>Thu giao quyền sử dụng đất</t>
  </si>
  <si>
    <t>Các khoản thu khác tại xã</t>
  </si>
  <si>
    <t>CHI CÂN ĐỐI NGÂN SÁCH HUYỆN</t>
  </si>
  <si>
    <t>Trong đó: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</si>
  <si>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</si>
  <si>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</si>
  <si>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</si>
  <si>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</si>
  <si>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</si>
  <si>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</si>
  <si>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bảo vệ môi trường</t>
  </si>
  <si>
    <t>Chi hoạt động kinh tế</t>
  </si>
  <si>
    <t>Chi hoạt động của cơ quan quản lý hành chính, đảng, đoàn thể</t>
  </si>
  <si>
    <t>Chi bảo đảm xã hội</t>
  </si>
  <si>
    <t>Chương trình mục tiêu quốc gia</t>
  </si>
  <si>
    <t>Cho các chương trình dự án quan trọng vốn đầu tư</t>
  </si>
  <si>
    <t>Cho các nhiệm vụ, chính sách kinh phí thường xuyên</t>
  </si>
  <si>
    <t>Biểu số 95/CK-NSNN</t>
  </si>
  <si>
    <t>Chi XDCB tập trung</t>
  </si>
  <si>
    <t>Chi từ nguồn thu tiền SDĐ</t>
  </si>
  <si>
    <t>Chi đầu tư tạo quỹ đất phát triển</t>
  </si>
  <si>
    <t>Chi khác</t>
  </si>
  <si>
    <t>IV</t>
  </si>
  <si>
    <t>Chi an ninh quốc phòng</t>
  </si>
  <si>
    <t>Chi khen thưởng</t>
  </si>
  <si>
    <t>C</t>
  </si>
  <si>
    <t>CHI TỪ NGUỒN BỔ SUNG CÓ MỤC TIÊU</t>
  </si>
  <si>
    <t>CÁC KHOẢN THU ĐỂ LẠI CHI QUẢN LÝ QUA NSNN</t>
  </si>
  <si>
    <t>Dự toán chi chưa phân bổ (từ nguồn tăng thu so chỉ tiêu pháp lệnh)</t>
  </si>
  <si>
    <t>Biểu 94/CK-NSNN</t>
  </si>
  <si>
    <t>Thu nội địa được hưởng theo phân cấp</t>
  </si>
  <si>
    <t>Dự phòng</t>
  </si>
  <si>
    <t>Chi các khoản thu để lại quản lý qua NSNN</t>
  </si>
  <si>
    <t>TỔNG THU NSNN TRÊN ĐỊA BÀN (I+II)</t>
  </si>
  <si>
    <t>So sánh thực hiện với (%)</t>
  </si>
  <si>
    <t>Chi tạo nguồn CCTL</t>
  </si>
  <si>
    <t>Cùng kỳ năm trước</t>
  </si>
  <si>
    <t>Chi ủy thác qua NHCSXH</t>
  </si>
  <si>
    <t>Dự toán năm 
2023</t>
  </si>
  <si>
    <t>Dự toán năm 2023</t>
  </si>
  <si>
    <t>Chi từ nguồn tiết kiệm thêm 10% chi TX dự toán 2023 so 2022</t>
  </si>
  <si>
    <t>THỰC HIỆN CHI NGÂN SÁCH HUYỆN QUÝ II NĂM 2023</t>
  </si>
  <si>
    <t>(Kèm theo Quyết định số:          /QĐ-UBND ngày        tháng  10  năm 2023 của UBND huyện Tân Châu)</t>
  </si>
  <si>
    <t>Thực hiện quý III năm 2023</t>
  </si>
  <si>
    <t>CÂN ĐỐI NGÂN SÁCH HUYỆN QUÝ III NĂM 2023</t>
  </si>
  <si>
    <t xml:space="preserve"> THỰC HIỆN THU NGÂN SÁCH NHÀ NƯỚC QUÝ III NĂM 2023</t>
  </si>
  <si>
    <t>(Kèm theo Quyết định số:          /QĐ-UBND ngày         tháng  10  năm 2023 của UBND huyện Tân Châu)</t>
  </si>
  <si>
    <t>Thực hiện quý III/2023</t>
  </si>
  <si>
    <t>(Kèm theo Quyết định số:          /QĐ-UBND ngày        tháng 10  năm 2023 của UBND huyện Tân Châu)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</si>
</sst>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₫_-;\-* #,##0.00\ _₫_-;_-* &quot;-&quot;??\ _₫_-;_-@_-"/>
    <numFmt numFmtId="164" formatCode="_(* #,##0.00_);_(* \(#,##0.00\);_(* &quot;-&quot;??_);_(@_)"/>
    <numFmt numFmtId="165" formatCode="_(* #,##0_);_(* \(#,##0\);_(* &quot;-&quot;??_);_(@_)"/>
    <numFmt numFmtId="166" formatCode="_-* #,##0\ _₫_-;\-* #,##0\ _₫_-;_-* &quot;-&quot;??\ _₫_-;_-@_-"/>
  </numFmts>
  <fonts count="2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name val="Times New Roman"/>
      <family val="1"/>
    </font>
    <font>
      <i/>
      <sz val="11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name val="Times New Roman"/>
      <family val="1"/>
    </font>
    <font>
      <b/>
      <i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/>
    <xf numFmtId="0" fontId="13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5" fontId="6" fillId="0" borderId="1" xfId="1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 wrapText="1"/>
    </xf>
    <xf numFmtId="165" fontId="14" fillId="2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15" fillId="0" borderId="0" xfId="0" applyFont="1"/>
    <xf numFmtId="165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164" fontId="7" fillId="0" borderId="1" xfId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5" fontId="7" fillId="0" borderId="3" xfId="1" applyNumberFormat="1" applyFont="1" applyBorder="1" applyAlignment="1">
      <alignment vertical="center" wrapText="1"/>
    </xf>
    <xf numFmtId="165" fontId="15" fillId="0" borderId="1" xfId="1" applyNumberFormat="1" applyFont="1" applyBorder="1"/>
    <xf numFmtId="0" fontId="15" fillId="0" borderId="0" xfId="0" applyFont="1" applyBorder="1"/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9" fillId="0" borderId="0" xfId="0" applyFont="1"/>
    <xf numFmtId="164" fontId="15" fillId="0" borderId="1" xfId="0" applyNumberFormat="1" applyFont="1" applyBorder="1"/>
    <xf numFmtId="164" fontId="3" fillId="0" borderId="0" xfId="0" applyNumberFormat="1" applyFont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165" fontId="8" fillId="0" borderId="1" xfId="1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vertical="center" wrapText="1"/>
    </xf>
    <xf numFmtId="165" fontId="3" fillId="0" borderId="0" xfId="0" applyNumberFormat="1" applyFont="1"/>
    <xf numFmtId="0" fontId="3" fillId="0" borderId="1" xfId="0" applyFont="1" applyBorder="1" applyAlignment="1">
      <alignment wrapText="1"/>
    </xf>
    <xf numFmtId="165" fontId="3" fillId="0" borderId="1" xfId="1" applyNumberFormat="1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165" fontId="18" fillId="0" borderId="1" xfId="1" applyNumberFormat="1" applyFont="1" applyBorder="1" applyAlignment="1">
      <alignment vertical="center" wrapText="1"/>
    </xf>
    <xf numFmtId="164" fontId="18" fillId="0" borderId="1" xfId="1" applyNumberFormat="1" applyFont="1" applyBorder="1" applyAlignment="1">
      <alignment vertical="center" wrapText="1"/>
    </xf>
    <xf numFmtId="0" fontId="19" fillId="0" borderId="0" xfId="0" applyFont="1"/>
    <xf numFmtId="165" fontId="19" fillId="0" borderId="0" xfId="0" applyNumberFormat="1" applyFont="1"/>
    <xf numFmtId="2" fontId="9" fillId="0" borderId="0" xfId="0" applyNumberFormat="1" applyFont="1"/>
    <xf numFmtId="2" fontId="3" fillId="0" borderId="0" xfId="0" applyNumberFormat="1" applyFont="1"/>
    <xf numFmtId="166" fontId="21" fillId="0" borderId="6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5" fontId="7" fillId="0" borderId="3" xfId="1" applyNumberFormat="1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 wrapText="1"/>
    </xf>
    <xf numFmtId="165" fontId="7" fillId="0" borderId="4" xfId="1" applyNumberFormat="1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3">
    <cellStyle name="Comma" xfId="1" builtinId="3"/>
    <cellStyle name="Comma 5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191732</xdr:rowOff>
    </xdr:from>
    <xdr:to>
      <xdr:col>1</xdr:col>
      <xdr:colOff>781050</xdr:colOff>
      <xdr:row>1</xdr:row>
      <xdr:rowOff>191732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76200" y="440210"/>
          <a:ext cx="114382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190500</xdr:rowOff>
    </xdr:from>
    <xdr:to>
      <xdr:col>1</xdr:col>
      <xdr:colOff>772353</xdr:colOff>
      <xdr:row>1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675" y="390525"/>
          <a:ext cx="114382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190500</xdr:rowOff>
    </xdr:from>
    <xdr:to>
      <xdr:col>1</xdr:col>
      <xdr:colOff>772353</xdr:colOff>
      <xdr:row>1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675" y="390525"/>
          <a:ext cx="114382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&#194;Y/N&#259;m%202023/B&#193;O%20C&#193;O/C&#212;NG%20KHAI%20C&#212;NG%20B&#7888;/BC%20Thu%20Chi%20Thang%209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"/>
      <sheetName val="Chi 07- 2016"/>
      <sheetName val="Chi"/>
    </sheetNames>
    <sheetDataSet>
      <sheetData sheetId="0">
        <row r="14">
          <cell r="G14">
            <v>90447.9</v>
          </cell>
        </row>
        <row r="20">
          <cell r="G20">
            <v>15811.5</v>
          </cell>
        </row>
        <row r="23">
          <cell r="G23">
            <v>3031.3</v>
          </cell>
        </row>
        <row r="24">
          <cell r="G24">
            <v>29409.200000000001</v>
          </cell>
        </row>
        <row r="25">
          <cell r="G25">
            <v>26183.5</v>
          </cell>
        </row>
        <row r="26">
          <cell r="G26">
            <v>11026.7</v>
          </cell>
        </row>
        <row r="30">
          <cell r="G30">
            <v>359.1</v>
          </cell>
        </row>
        <row r="31">
          <cell r="G31">
            <v>14808.6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D17" sqref="D17"/>
    </sheetView>
  </sheetViews>
  <sheetFormatPr defaultColWidth="9.125" defaultRowHeight="15.75" x14ac:dyDescent="0.25"/>
  <cols>
    <col min="1" max="1" width="6.625" style="1" customWidth="1"/>
    <col min="2" max="2" width="43.875" style="1" customWidth="1"/>
    <col min="3" max="3" width="11.875" style="1" customWidth="1"/>
    <col min="4" max="4" width="10" style="1" customWidth="1"/>
    <col min="5" max="5" width="12.75" style="1" customWidth="1"/>
    <col min="6" max="6" width="11.625" style="1" customWidth="1"/>
    <col min="7" max="16384" width="9.125" style="1"/>
  </cols>
  <sheetData>
    <row r="1" spans="1:10" ht="19.5" customHeight="1" x14ac:dyDescent="0.25">
      <c r="A1" s="63" t="s">
        <v>24</v>
      </c>
      <c r="B1" s="63"/>
    </row>
    <row r="2" spans="1:10" x14ac:dyDescent="0.25">
      <c r="A2" s="64" t="s">
        <v>25</v>
      </c>
      <c r="B2" s="64"/>
      <c r="E2" s="65" t="s">
        <v>0</v>
      </c>
      <c r="F2" s="65"/>
    </row>
    <row r="3" spans="1:10" x14ac:dyDescent="0.25">
      <c r="A3" s="46"/>
      <c r="B3" s="46"/>
      <c r="E3" s="47"/>
      <c r="F3" s="47"/>
    </row>
    <row r="4" spans="1:10" ht="21.75" customHeight="1" x14ac:dyDescent="0.25">
      <c r="A4" s="67" t="s">
        <v>91</v>
      </c>
      <c r="B4" s="67"/>
      <c r="C4" s="67"/>
      <c r="D4" s="67"/>
      <c r="E4" s="67"/>
      <c r="F4" s="67"/>
      <c r="G4" s="3"/>
      <c r="H4" s="3"/>
      <c r="I4" s="3"/>
      <c r="J4" s="3"/>
    </row>
    <row r="5" spans="1:10" ht="21.75" customHeight="1" x14ac:dyDescent="0.25">
      <c r="A5" s="69" t="s">
        <v>89</v>
      </c>
      <c r="B5" s="70"/>
      <c r="C5" s="70"/>
      <c r="D5" s="70"/>
      <c r="E5" s="70"/>
      <c r="F5" s="70"/>
      <c r="G5" s="3"/>
      <c r="H5" s="3"/>
      <c r="I5" s="3"/>
      <c r="J5" s="3"/>
    </row>
    <row r="6" spans="1:10" ht="24.75" customHeight="1" x14ac:dyDescent="0.25">
      <c r="A6" s="4"/>
      <c r="B6" s="4"/>
      <c r="C6" s="4"/>
      <c r="D6" s="4"/>
      <c r="E6" s="68" t="s">
        <v>1</v>
      </c>
      <c r="F6" s="68"/>
      <c r="G6" s="4"/>
      <c r="H6" s="4"/>
      <c r="I6" s="4"/>
      <c r="J6" s="4"/>
    </row>
    <row r="7" spans="1:10" ht="32.25" customHeight="1" x14ac:dyDescent="0.25">
      <c r="A7" s="66" t="s">
        <v>2</v>
      </c>
      <c r="B7" s="66" t="s">
        <v>3</v>
      </c>
      <c r="C7" s="66" t="s">
        <v>85</v>
      </c>
      <c r="D7" s="66" t="s">
        <v>90</v>
      </c>
      <c r="E7" s="66" t="s">
        <v>81</v>
      </c>
      <c r="F7" s="66"/>
    </row>
    <row r="8" spans="1:10" ht="54.75" customHeight="1" x14ac:dyDescent="0.25">
      <c r="A8" s="66"/>
      <c r="B8" s="66"/>
      <c r="C8" s="66"/>
      <c r="D8" s="66"/>
      <c r="E8" s="7" t="s">
        <v>4</v>
      </c>
      <c r="F8" s="7" t="s">
        <v>26</v>
      </c>
    </row>
    <row r="9" spans="1:10" s="6" customFormat="1" ht="12.75" x14ac:dyDescent="0.2">
      <c r="A9" s="8" t="s">
        <v>6</v>
      </c>
      <c r="B9" s="8" t="s">
        <v>7</v>
      </c>
      <c r="C9" s="8">
        <v>1</v>
      </c>
      <c r="D9" s="8">
        <v>2</v>
      </c>
      <c r="E9" s="8" t="s">
        <v>8</v>
      </c>
      <c r="F9" s="8">
        <v>4</v>
      </c>
    </row>
    <row r="10" spans="1:10" ht="21.75" customHeight="1" x14ac:dyDescent="0.25">
      <c r="A10" s="7" t="s">
        <v>6</v>
      </c>
      <c r="B10" s="38" t="s">
        <v>9</v>
      </c>
      <c r="C10" s="18">
        <f>C11+C16+C15</f>
        <v>605568</v>
      </c>
      <c r="D10" s="18">
        <f>D11+D16+D15</f>
        <v>497816</v>
      </c>
      <c r="E10" s="19">
        <f>D10/C10*100</f>
        <v>82.206457408581684</v>
      </c>
      <c r="F10" s="19">
        <f>D10/447554*100</f>
        <v>111.23037666963094</v>
      </c>
    </row>
    <row r="11" spans="1:10" ht="21.75" customHeight="1" x14ac:dyDescent="0.25">
      <c r="A11" s="7" t="s">
        <v>10</v>
      </c>
      <c r="B11" s="38" t="s">
        <v>11</v>
      </c>
      <c r="C11" s="18">
        <f>C12+C14</f>
        <v>470690</v>
      </c>
      <c r="D11" s="18">
        <f>D12+D14</f>
        <v>349877</v>
      </c>
      <c r="E11" s="19">
        <f>D11/C11*100</f>
        <v>74.332788034587509</v>
      </c>
      <c r="F11" s="19">
        <f>D11/334151*100</f>
        <v>104.70625555512328</v>
      </c>
    </row>
    <row r="12" spans="1:10" ht="21.75" customHeight="1" x14ac:dyDescent="0.25">
      <c r="A12" s="10">
        <v>1</v>
      </c>
      <c r="B12" s="39" t="s">
        <v>77</v>
      </c>
      <c r="C12" s="12">
        <f>105262+296460</f>
        <v>401722</v>
      </c>
      <c r="D12" s="12">
        <f>'B 94'!D29</f>
        <v>266601</v>
      </c>
      <c r="E12" s="14">
        <f>D12/C12*100</f>
        <v>66.364550609625567</v>
      </c>
      <c r="F12" s="14">
        <f>D12/255837*100</f>
        <v>104.20736640908079</v>
      </c>
    </row>
    <row r="13" spans="1:10" ht="21.75" customHeight="1" x14ac:dyDescent="0.25">
      <c r="A13" s="10">
        <v>2</v>
      </c>
      <c r="B13" s="39" t="s">
        <v>13</v>
      </c>
      <c r="C13" s="12"/>
      <c r="D13" s="12"/>
      <c r="E13" s="14"/>
      <c r="F13" s="12"/>
    </row>
    <row r="14" spans="1:10" ht="21.75" customHeight="1" x14ac:dyDescent="0.25">
      <c r="A14" s="10">
        <v>3</v>
      </c>
      <c r="B14" s="39" t="s">
        <v>27</v>
      </c>
      <c r="C14" s="12">
        <v>68968</v>
      </c>
      <c r="D14" s="12">
        <v>83276</v>
      </c>
      <c r="E14" s="14">
        <f>D14/C14*100</f>
        <v>120.74585314928663</v>
      </c>
      <c r="F14" s="14">
        <f>D14/78314*100</f>
        <v>106.33603187169601</v>
      </c>
    </row>
    <row r="15" spans="1:10" s="17" customFormat="1" ht="21.75" customHeight="1" x14ac:dyDescent="0.25">
      <c r="A15" s="7" t="s">
        <v>14</v>
      </c>
      <c r="B15" s="38" t="s">
        <v>28</v>
      </c>
      <c r="C15" s="13">
        <v>134878</v>
      </c>
      <c r="D15" s="13">
        <v>147939</v>
      </c>
      <c r="E15" s="16">
        <f>D15/C15*100</f>
        <v>109.68356588917392</v>
      </c>
      <c r="F15" s="16">
        <f>D15/113403*100</f>
        <v>130.45422078780985</v>
      </c>
    </row>
    <row r="16" spans="1:10" ht="21.75" customHeight="1" x14ac:dyDescent="0.25">
      <c r="A16" s="7" t="s">
        <v>22</v>
      </c>
      <c r="B16" s="38" t="s">
        <v>15</v>
      </c>
      <c r="C16" s="15"/>
      <c r="D16" s="13"/>
      <c r="E16" s="14"/>
      <c r="F16" s="13"/>
    </row>
    <row r="17" spans="1:9" ht="21.75" customHeight="1" x14ac:dyDescent="0.25">
      <c r="A17" s="7" t="s">
        <v>7</v>
      </c>
      <c r="B17" s="38" t="s">
        <v>16</v>
      </c>
      <c r="C17" s="13">
        <f>C18+C24+C25</f>
        <v>605568</v>
      </c>
      <c r="D17" s="13">
        <f>D18+D24+D25</f>
        <v>399596</v>
      </c>
      <c r="E17" s="16">
        <f>D17/C17*100</f>
        <v>65.986974212640035</v>
      </c>
      <c r="F17" s="16">
        <f>D17/196955*100</f>
        <v>202.88695387271204</v>
      </c>
    </row>
    <row r="18" spans="1:9" s="17" customFormat="1" ht="21.75" customHeight="1" x14ac:dyDescent="0.25">
      <c r="A18" s="7" t="s">
        <v>17</v>
      </c>
      <c r="B18" s="38" t="s">
        <v>18</v>
      </c>
      <c r="C18" s="13">
        <f>SUM(C19:C23)</f>
        <v>470690</v>
      </c>
      <c r="D18" s="13">
        <f>SUM(D19:D23)</f>
        <v>309945</v>
      </c>
      <c r="E18" s="16">
        <f>D18/C18*100</f>
        <v>65.849072638042031</v>
      </c>
      <c r="F18" s="16">
        <f>D18/196760*100</f>
        <v>157.52439520227688</v>
      </c>
    </row>
    <row r="19" spans="1:9" ht="18" customHeight="1" x14ac:dyDescent="0.25">
      <c r="A19" s="10">
        <v>1</v>
      </c>
      <c r="B19" s="39" t="s">
        <v>19</v>
      </c>
      <c r="C19" s="12">
        <v>67010</v>
      </c>
      <c r="D19" s="12">
        <f>'B 95'!D13</f>
        <v>49030</v>
      </c>
      <c r="E19" s="14">
        <f>D19/C19*100</f>
        <v>73.168183853156251</v>
      </c>
      <c r="F19" s="14">
        <f>D19/19080*100</f>
        <v>256.97064989517821</v>
      </c>
    </row>
    <row r="20" spans="1:9" ht="18" customHeight="1" x14ac:dyDescent="0.25">
      <c r="A20" s="10">
        <v>2</v>
      </c>
      <c r="B20" s="39" t="s">
        <v>20</v>
      </c>
      <c r="C20" s="12">
        <v>394290</v>
      </c>
      <c r="D20" s="12">
        <f>'B 95'!D20</f>
        <v>260915</v>
      </c>
      <c r="E20" s="14">
        <f>D20/C20*100</f>
        <v>66.173374927084126</v>
      </c>
      <c r="F20" s="14">
        <f>D20/176830*100</f>
        <v>147.55132047729458</v>
      </c>
    </row>
    <row r="21" spans="1:9" ht="30.75" hidden="1" customHeight="1" x14ac:dyDescent="0.25">
      <c r="A21" s="10"/>
      <c r="B21" s="39"/>
      <c r="C21" s="12"/>
      <c r="D21" s="12"/>
      <c r="E21" s="14"/>
      <c r="F21" s="14"/>
    </row>
    <row r="22" spans="1:9" ht="18" customHeight="1" x14ac:dyDescent="0.25">
      <c r="A22" s="10">
        <v>3</v>
      </c>
      <c r="B22" s="39" t="s">
        <v>78</v>
      </c>
      <c r="C22" s="12">
        <v>9390</v>
      </c>
      <c r="D22" s="12"/>
      <c r="E22" s="14">
        <f>D22/C22*100</f>
        <v>0</v>
      </c>
      <c r="F22" s="14">
        <f>D22/176*100</f>
        <v>0</v>
      </c>
    </row>
    <row r="23" spans="1:9" ht="18" customHeight="1" x14ac:dyDescent="0.25">
      <c r="A23" s="10">
        <v>4</v>
      </c>
      <c r="B23" s="39" t="s">
        <v>82</v>
      </c>
      <c r="C23" s="12">
        <v>0</v>
      </c>
      <c r="D23" s="12"/>
      <c r="E23" s="14"/>
      <c r="F23" s="14">
        <f>D23/1415*100</f>
        <v>0</v>
      </c>
    </row>
    <row r="24" spans="1:9" ht="27.75" customHeight="1" x14ac:dyDescent="0.25">
      <c r="A24" s="7" t="s">
        <v>22</v>
      </c>
      <c r="B24" s="38" t="s">
        <v>23</v>
      </c>
      <c r="C24" s="13">
        <v>134878</v>
      </c>
      <c r="D24" s="13">
        <f>'B 95'!D39</f>
        <v>89651</v>
      </c>
      <c r="E24" s="19">
        <f>D24/C24*100</f>
        <v>66.468215720873687</v>
      </c>
      <c r="F24" s="16">
        <f>D24/195*100</f>
        <v>45974.871794871797</v>
      </c>
    </row>
    <row r="25" spans="1:9" s="17" customFormat="1" ht="21.75" customHeight="1" x14ac:dyDescent="0.25">
      <c r="A25" s="37" t="s">
        <v>69</v>
      </c>
      <c r="B25" s="40" t="s">
        <v>79</v>
      </c>
      <c r="C25" s="30"/>
      <c r="D25" s="30"/>
      <c r="E25" s="44"/>
      <c r="F25" s="16">
        <f>D25/2298*100</f>
        <v>0</v>
      </c>
      <c r="I25" s="17">
        <f>6980-6955</f>
        <v>25</v>
      </c>
    </row>
    <row r="26" spans="1:9" x14ac:dyDescent="0.25">
      <c r="A26" s="3"/>
    </row>
    <row r="27" spans="1:9" x14ac:dyDescent="0.25">
      <c r="A27" s="3"/>
    </row>
  </sheetData>
  <mergeCells count="11">
    <mergeCell ref="A1:B1"/>
    <mergeCell ref="A2:B2"/>
    <mergeCell ref="E2:F2"/>
    <mergeCell ref="A7:A8"/>
    <mergeCell ref="B7:B8"/>
    <mergeCell ref="C7:C8"/>
    <mergeCell ref="D7:D8"/>
    <mergeCell ref="E7:F7"/>
    <mergeCell ref="A4:F4"/>
    <mergeCell ref="E6:F6"/>
    <mergeCell ref="A5:F5"/>
  </mergeCells>
  <pageMargins left="0.51181102362204722" right="0.19685039370078741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19" workbookViewId="0">
      <selection activeCell="B30" sqref="B30"/>
    </sheetView>
  </sheetViews>
  <sheetFormatPr defaultColWidth="9.125" defaultRowHeight="15.75" x14ac:dyDescent="0.25"/>
  <cols>
    <col min="1" max="1" width="6.625" style="1" customWidth="1"/>
    <col min="2" max="2" width="46.5" style="1" customWidth="1"/>
    <col min="3" max="3" width="11.625" style="1" customWidth="1"/>
    <col min="4" max="4" width="10.875" style="1" customWidth="1"/>
    <col min="5" max="5" width="11.75" style="1" customWidth="1"/>
    <col min="6" max="6" width="11.625" style="1" customWidth="1"/>
    <col min="7" max="16384" width="9.125" style="1"/>
  </cols>
  <sheetData>
    <row r="1" spans="1:6" x14ac:dyDescent="0.25">
      <c r="A1" s="63" t="s">
        <v>24</v>
      </c>
      <c r="B1" s="63"/>
    </row>
    <row r="2" spans="1:6" x14ac:dyDescent="0.25">
      <c r="A2" s="64" t="s">
        <v>25</v>
      </c>
      <c r="B2" s="64"/>
      <c r="E2" s="65" t="s">
        <v>76</v>
      </c>
      <c r="F2" s="65"/>
    </row>
    <row r="4" spans="1:6" ht="21.75" customHeight="1" x14ac:dyDescent="0.25">
      <c r="A4" s="67" t="s">
        <v>92</v>
      </c>
      <c r="B4" s="67"/>
      <c r="C4" s="67"/>
      <c r="D4" s="67"/>
      <c r="E4" s="67"/>
      <c r="F4" s="67"/>
    </row>
    <row r="5" spans="1:6" s="43" customFormat="1" ht="21.75" customHeight="1" x14ac:dyDescent="0.25">
      <c r="A5" s="72" t="s">
        <v>93</v>
      </c>
      <c r="B5" s="72"/>
      <c r="C5" s="72"/>
      <c r="D5" s="72"/>
      <c r="E5" s="72"/>
      <c r="F5" s="72"/>
    </row>
    <row r="6" spans="1:6" ht="23.25" customHeight="1" x14ac:dyDescent="0.25">
      <c r="A6" s="20"/>
      <c r="E6" s="71" t="s">
        <v>1</v>
      </c>
      <c r="F6" s="71"/>
    </row>
    <row r="7" spans="1:6" ht="31.5" customHeight="1" x14ac:dyDescent="0.25">
      <c r="A7" s="66" t="s">
        <v>2</v>
      </c>
      <c r="B7" s="66" t="s">
        <v>3</v>
      </c>
      <c r="C7" s="66" t="s">
        <v>86</v>
      </c>
      <c r="D7" s="66" t="s">
        <v>90</v>
      </c>
      <c r="E7" s="66" t="s">
        <v>81</v>
      </c>
      <c r="F7" s="66"/>
    </row>
    <row r="8" spans="1:6" ht="38.25" customHeight="1" x14ac:dyDescent="0.25">
      <c r="A8" s="66"/>
      <c r="B8" s="66"/>
      <c r="C8" s="66"/>
      <c r="D8" s="66"/>
      <c r="E8" s="7" t="s">
        <v>4</v>
      </c>
      <c r="F8" s="7" t="s">
        <v>5</v>
      </c>
    </row>
    <row r="9" spans="1:6" x14ac:dyDescent="0.25">
      <c r="A9" s="10" t="s">
        <v>6</v>
      </c>
      <c r="B9" s="10" t="s">
        <v>7</v>
      </c>
      <c r="C9" s="10">
        <v>1</v>
      </c>
      <c r="D9" s="10">
        <v>2</v>
      </c>
      <c r="E9" s="10" t="s">
        <v>8</v>
      </c>
      <c r="F9" s="10">
        <v>4</v>
      </c>
    </row>
    <row r="10" spans="1:6" ht="21.75" customHeight="1" x14ac:dyDescent="0.25">
      <c r="A10" s="7" t="s">
        <v>6</v>
      </c>
      <c r="B10" s="9" t="s">
        <v>80</v>
      </c>
      <c r="C10" s="41">
        <f>C11</f>
        <v>296460</v>
      </c>
      <c r="D10" s="41">
        <f>D11</f>
        <v>191261.8</v>
      </c>
      <c r="E10" s="42">
        <f>D10/C10*100</f>
        <v>64.515212844903189</v>
      </c>
      <c r="F10" s="26">
        <f>D10/203855*100</f>
        <v>93.822471854994973</v>
      </c>
    </row>
    <row r="11" spans="1:6" ht="21.75" customHeight="1" x14ac:dyDescent="0.25">
      <c r="A11" s="7" t="s">
        <v>10</v>
      </c>
      <c r="B11" s="9" t="s">
        <v>12</v>
      </c>
      <c r="C11" s="23">
        <f>SUM(C12:C19)+C26+C27</f>
        <v>296460</v>
      </c>
      <c r="D11" s="23">
        <f>SUM(D12:D19)+D25+D26+D27</f>
        <v>191261.8</v>
      </c>
      <c r="E11" s="26">
        <f>D11/C11*100</f>
        <v>64.515212844903189</v>
      </c>
      <c r="F11" s="26">
        <f>D11/203855*100</f>
        <v>93.822471854994973</v>
      </c>
    </row>
    <row r="12" spans="1:6" ht="21.75" customHeight="1" x14ac:dyDescent="0.25">
      <c r="A12" s="10">
        <v>1</v>
      </c>
      <c r="B12" s="11" t="s">
        <v>29</v>
      </c>
      <c r="C12" s="24"/>
      <c r="D12" s="24"/>
      <c r="E12" s="24"/>
      <c r="F12" s="24"/>
    </row>
    <row r="13" spans="1:6" ht="21.75" customHeight="1" x14ac:dyDescent="0.25">
      <c r="A13" s="10">
        <v>2</v>
      </c>
      <c r="B13" s="11" t="s">
        <v>30</v>
      </c>
      <c r="C13" s="24"/>
      <c r="D13" s="24"/>
      <c r="E13" s="24"/>
      <c r="F13" s="24"/>
    </row>
    <row r="14" spans="1:6" ht="21.75" customHeight="1" x14ac:dyDescent="0.25">
      <c r="A14" s="10">
        <v>3</v>
      </c>
      <c r="B14" s="11" t="s">
        <v>31</v>
      </c>
      <c r="C14" s="24">
        <v>168500</v>
      </c>
      <c r="D14" s="62">
        <f>[1]Thu!$G$14</f>
        <v>90447.9</v>
      </c>
      <c r="E14" s="22">
        <f>D14/C14*100</f>
        <v>53.678278931750732</v>
      </c>
      <c r="F14" s="22">
        <f>D14/82568*100</f>
        <v>109.54352775893807</v>
      </c>
    </row>
    <row r="15" spans="1:6" ht="21.75" customHeight="1" x14ac:dyDescent="0.25">
      <c r="A15" s="10">
        <v>4</v>
      </c>
      <c r="B15" s="11" t="s">
        <v>32</v>
      </c>
      <c r="C15" s="24">
        <v>48000</v>
      </c>
      <c r="D15" s="24">
        <f>[1]Thu!$G$24</f>
        <v>29409.200000000001</v>
      </c>
      <c r="E15" s="22">
        <f>D15/C15*100</f>
        <v>61.269166666666663</v>
      </c>
      <c r="F15" s="22">
        <f>D15/59859*100</f>
        <v>49.130790691458259</v>
      </c>
    </row>
    <row r="16" spans="1:6" ht="21.75" customHeight="1" x14ac:dyDescent="0.25">
      <c r="A16" s="10">
        <v>5</v>
      </c>
      <c r="B16" s="11" t="s">
        <v>33</v>
      </c>
      <c r="C16" s="24"/>
      <c r="D16" s="24"/>
      <c r="E16" s="22">
        <v>0</v>
      </c>
      <c r="F16" s="22"/>
    </row>
    <row r="17" spans="1:9" ht="21.75" customHeight="1" x14ac:dyDescent="0.25">
      <c r="A17" s="10">
        <v>6</v>
      </c>
      <c r="B17" s="11" t="s">
        <v>34</v>
      </c>
      <c r="C17" s="24">
        <v>21500</v>
      </c>
      <c r="D17" s="24">
        <f>[1]Thu!$G$20</f>
        <v>15811.5</v>
      </c>
      <c r="E17" s="22">
        <f t="shared" ref="E17:E31" si="0">D17/C17*100</f>
        <v>73.541860465116287</v>
      </c>
      <c r="F17" s="22">
        <f>D17/18181*100</f>
        <v>86.967163522358504</v>
      </c>
    </row>
    <row r="18" spans="1:9" ht="21.75" customHeight="1" x14ac:dyDescent="0.25">
      <c r="A18" s="10">
        <v>7</v>
      </c>
      <c r="B18" s="11" t="s">
        <v>35</v>
      </c>
      <c r="C18" s="24">
        <v>3600</v>
      </c>
      <c r="D18" s="24">
        <f>[1]Thu!$G$23</f>
        <v>3031.3</v>
      </c>
      <c r="E18" s="22">
        <f t="shared" si="0"/>
        <v>84.202777777777783</v>
      </c>
      <c r="F18" s="22">
        <f>D18/2371*100</f>
        <v>127.84900885702235</v>
      </c>
    </row>
    <row r="19" spans="1:9" ht="21.75" customHeight="1" x14ac:dyDescent="0.25">
      <c r="A19" s="10">
        <v>8</v>
      </c>
      <c r="B19" s="11" t="s">
        <v>36</v>
      </c>
      <c r="C19" s="24">
        <f>C20+C21+C22+C23</f>
        <v>40410</v>
      </c>
      <c r="D19" s="24">
        <f>D20+D21+D22+D23</f>
        <v>41176.1</v>
      </c>
      <c r="E19" s="22">
        <f t="shared" si="0"/>
        <v>101.89581786686463</v>
      </c>
      <c r="F19" s="22">
        <f>D19/30882*100</f>
        <v>133.33365714655787</v>
      </c>
    </row>
    <row r="20" spans="1:9" ht="21.75" customHeight="1" x14ac:dyDescent="0.25">
      <c r="A20" s="10" t="s">
        <v>37</v>
      </c>
      <c r="B20" s="21" t="s">
        <v>38</v>
      </c>
      <c r="C20" s="48"/>
      <c r="D20" s="48"/>
      <c r="E20" s="49">
        <v>0</v>
      </c>
      <c r="F20" s="49">
        <f>D20/87*100</f>
        <v>0</v>
      </c>
    </row>
    <row r="21" spans="1:9" ht="21.75" customHeight="1" x14ac:dyDescent="0.25">
      <c r="A21" s="10" t="s">
        <v>37</v>
      </c>
      <c r="B21" s="21" t="s">
        <v>39</v>
      </c>
      <c r="C21" s="48">
        <v>110</v>
      </c>
      <c r="D21" s="48">
        <v>184</v>
      </c>
      <c r="E21" s="49">
        <f t="shared" si="0"/>
        <v>167.27272727272725</v>
      </c>
      <c r="F21" s="49">
        <f>D21/58*100</f>
        <v>317.24137931034483</v>
      </c>
    </row>
    <row r="22" spans="1:9" ht="21.75" customHeight="1" x14ac:dyDescent="0.25">
      <c r="A22" s="10" t="s">
        <v>37</v>
      </c>
      <c r="B22" s="21" t="s">
        <v>47</v>
      </c>
      <c r="C22" s="48">
        <v>37500</v>
      </c>
      <c r="D22" s="48">
        <f>[1]Thu!$G$25</f>
        <v>26183.5</v>
      </c>
      <c r="E22" s="49">
        <f t="shared" si="0"/>
        <v>69.822666666666663</v>
      </c>
      <c r="F22" s="49">
        <f>D22/23175*100</f>
        <v>112.98166127292342</v>
      </c>
    </row>
    <row r="23" spans="1:9" ht="21.75" customHeight="1" x14ac:dyDescent="0.25">
      <c r="A23" s="10" t="s">
        <v>37</v>
      </c>
      <c r="B23" s="21" t="s">
        <v>40</v>
      </c>
      <c r="C23" s="48">
        <v>2800</v>
      </c>
      <c r="D23" s="48">
        <f>[1]Thu!$G$31</f>
        <v>14808.6</v>
      </c>
      <c r="E23" s="49">
        <f t="shared" si="0"/>
        <v>528.87857142857138</v>
      </c>
      <c r="F23" s="49">
        <f>D23/7649*100</f>
        <v>193.60177801019742</v>
      </c>
    </row>
    <row r="24" spans="1:9" ht="24" customHeight="1" x14ac:dyDescent="0.25">
      <c r="A24" s="10" t="s">
        <v>37</v>
      </c>
      <c r="B24" s="21" t="s">
        <v>41</v>
      </c>
      <c r="C24" s="48"/>
      <c r="D24" s="48"/>
      <c r="E24" s="49">
        <v>0</v>
      </c>
      <c r="F24" s="49"/>
    </row>
    <row r="25" spans="1:9" ht="21.75" customHeight="1" x14ac:dyDescent="0.25">
      <c r="A25" s="10">
        <v>9</v>
      </c>
      <c r="B25" s="11" t="s">
        <v>42</v>
      </c>
      <c r="C25" s="24">
        <v>0</v>
      </c>
      <c r="D25" s="24">
        <v>0</v>
      </c>
      <c r="E25" s="25">
        <v>0</v>
      </c>
      <c r="F25" s="25">
        <v>0</v>
      </c>
    </row>
    <row r="26" spans="1:9" ht="21.75" customHeight="1" x14ac:dyDescent="0.25">
      <c r="A26" s="10">
        <v>10</v>
      </c>
      <c r="B26" s="11" t="s">
        <v>43</v>
      </c>
      <c r="C26" s="24">
        <v>14000</v>
      </c>
      <c r="D26" s="24">
        <f>[1]Thu!$G$26</f>
        <v>11026.7</v>
      </c>
      <c r="E26" s="25">
        <f t="shared" si="0"/>
        <v>78.762142857142862</v>
      </c>
      <c r="F26" s="25">
        <f>D26/9774*100</f>
        <v>112.81665643544096</v>
      </c>
    </row>
    <row r="27" spans="1:9" ht="21.75" customHeight="1" x14ac:dyDescent="0.25">
      <c r="A27" s="10">
        <v>11</v>
      </c>
      <c r="B27" s="11" t="s">
        <v>48</v>
      </c>
      <c r="C27" s="24">
        <v>450</v>
      </c>
      <c r="D27" s="24">
        <f>[1]Thu!$G$30</f>
        <v>359.1</v>
      </c>
      <c r="E27" s="25">
        <f t="shared" si="0"/>
        <v>79.800000000000011</v>
      </c>
      <c r="F27" s="25">
        <f>D27/220*100</f>
        <v>163.22727272727272</v>
      </c>
    </row>
    <row r="28" spans="1:9" ht="21.75" customHeight="1" x14ac:dyDescent="0.25">
      <c r="A28" s="7" t="s">
        <v>14</v>
      </c>
      <c r="B28" s="9" t="s">
        <v>13</v>
      </c>
      <c r="C28" s="24"/>
      <c r="D28" s="24"/>
      <c r="E28" s="25">
        <v>0</v>
      </c>
      <c r="F28" s="25"/>
    </row>
    <row r="29" spans="1:9" ht="33.75" customHeight="1" x14ac:dyDescent="0.25">
      <c r="A29" s="7" t="s">
        <v>7</v>
      </c>
      <c r="B29" s="9" t="s">
        <v>44</v>
      </c>
      <c r="C29" s="23">
        <f>C30+C31</f>
        <v>401722</v>
      </c>
      <c r="D29" s="23">
        <f>D30+D31</f>
        <v>266601</v>
      </c>
      <c r="E29" s="26">
        <f>E30+E31</f>
        <v>136.08811760884035</v>
      </c>
      <c r="F29" s="26">
        <f>D29/255837*100</f>
        <v>104.20736640908079</v>
      </c>
      <c r="I29" s="45"/>
    </row>
    <row r="30" spans="1:9" ht="21.75" customHeight="1" x14ac:dyDescent="0.25">
      <c r="A30" s="10">
        <v>1</v>
      </c>
      <c r="B30" s="11" t="s">
        <v>45</v>
      </c>
      <c r="C30" s="24">
        <v>105262</v>
      </c>
      <c r="D30" s="24">
        <v>75339</v>
      </c>
      <c r="E30" s="25">
        <f t="shared" si="0"/>
        <v>71.572837301210313</v>
      </c>
      <c r="F30" s="25">
        <f>D30/51982*100</f>
        <v>144.93286137509139</v>
      </c>
    </row>
    <row r="31" spans="1:9" ht="21.75" customHeight="1" x14ac:dyDescent="0.25">
      <c r="A31" s="10">
        <v>2</v>
      </c>
      <c r="B31" s="11" t="s">
        <v>46</v>
      </c>
      <c r="C31" s="24">
        <v>296460</v>
      </c>
      <c r="D31" s="24">
        <v>191262</v>
      </c>
      <c r="E31" s="22">
        <f t="shared" si="0"/>
        <v>64.515280307630036</v>
      </c>
      <c r="F31" s="22">
        <f>D31/203855*100</f>
        <v>93.822569963944957</v>
      </c>
    </row>
    <row r="32" spans="1:9" x14ac:dyDescent="0.25">
      <c r="A32" s="2"/>
    </row>
  </sheetData>
  <mergeCells count="11">
    <mergeCell ref="A1:B1"/>
    <mergeCell ref="A2:B2"/>
    <mergeCell ref="E2:F2"/>
    <mergeCell ref="A7:A8"/>
    <mergeCell ref="B7:B8"/>
    <mergeCell ref="C7:C8"/>
    <mergeCell ref="D7:D8"/>
    <mergeCell ref="E7:F7"/>
    <mergeCell ref="A4:F4"/>
    <mergeCell ref="E6:F6"/>
    <mergeCell ref="A5:F5"/>
  </mergeCells>
  <pageMargins left="0.23622047244094491" right="0.23622047244094491" top="0.74803149606299213" bottom="0.74803149606299213" header="0.31496062992125984" footer="0.31496062992125984"/>
  <pageSetup paperSize="9" scale="9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7" workbookViewId="0">
      <selection activeCell="D28" sqref="D28"/>
    </sheetView>
  </sheetViews>
  <sheetFormatPr defaultColWidth="9.125" defaultRowHeight="15.75" x14ac:dyDescent="0.25"/>
  <cols>
    <col min="1" max="1" width="5.125" style="1" customWidth="1"/>
    <col min="2" max="2" width="53.125" style="1" customWidth="1"/>
    <col min="3" max="3" width="11.625" style="1" customWidth="1"/>
    <col min="4" max="4" width="12" style="1" customWidth="1"/>
    <col min="5" max="5" width="11.625" style="1" customWidth="1"/>
    <col min="6" max="6" width="12.375" style="1" customWidth="1"/>
    <col min="7" max="7" width="9.125" style="1"/>
    <col min="8" max="8" width="9.875" style="1" bestFit="1" customWidth="1"/>
    <col min="9" max="16384" width="9.125" style="1"/>
  </cols>
  <sheetData>
    <row r="1" spans="1:11" x14ac:dyDescent="0.25">
      <c r="A1" s="63" t="s">
        <v>24</v>
      </c>
      <c r="B1" s="63"/>
    </row>
    <row r="2" spans="1:11" x14ac:dyDescent="0.25">
      <c r="A2" s="64" t="s">
        <v>25</v>
      </c>
      <c r="B2" s="64"/>
      <c r="E2" s="65" t="s">
        <v>64</v>
      </c>
      <c r="F2" s="65"/>
    </row>
    <row r="4" spans="1:11" ht="21.75" customHeight="1" x14ac:dyDescent="0.25">
      <c r="A4" s="67" t="s">
        <v>88</v>
      </c>
      <c r="B4" s="67"/>
      <c r="C4" s="67"/>
      <c r="D4" s="67"/>
      <c r="E4" s="67"/>
      <c r="F4" s="67"/>
    </row>
    <row r="5" spans="1:11" s="43" customFormat="1" ht="21.75" customHeight="1" x14ac:dyDescent="0.25">
      <c r="A5" s="72" t="s">
        <v>95</v>
      </c>
      <c r="B5" s="72"/>
      <c r="C5" s="72"/>
      <c r="D5" s="72"/>
      <c r="E5" s="72"/>
      <c r="F5" s="72"/>
    </row>
    <row r="6" spans="1:11" ht="24" customHeight="1" x14ac:dyDescent="0.25">
      <c r="A6" s="20"/>
      <c r="E6" s="81" t="s">
        <v>1</v>
      </c>
      <c r="F6" s="81"/>
      <c r="K6" s="1">
        <f>4.89-4.06</f>
        <v>0.83000000000000007</v>
      </c>
    </row>
    <row r="7" spans="1:11" ht="32.25" customHeight="1" x14ac:dyDescent="0.25">
      <c r="A7" s="66" t="s">
        <v>2</v>
      </c>
      <c r="B7" s="66" t="s">
        <v>3</v>
      </c>
      <c r="C7" s="66" t="s">
        <v>86</v>
      </c>
      <c r="D7" s="66" t="s">
        <v>94</v>
      </c>
      <c r="E7" s="66" t="s">
        <v>81</v>
      </c>
      <c r="F7" s="66"/>
    </row>
    <row r="8" spans="1:11" ht="31.5" customHeight="1" x14ac:dyDescent="0.25">
      <c r="A8" s="66"/>
      <c r="B8" s="66"/>
      <c r="C8" s="66"/>
      <c r="D8" s="66"/>
      <c r="E8" s="66" t="s">
        <v>4</v>
      </c>
      <c r="F8" s="73" t="s">
        <v>83</v>
      </c>
    </row>
    <row r="9" spans="1:11" ht="10.5" customHeight="1" x14ac:dyDescent="0.25">
      <c r="A9" s="66"/>
      <c r="B9" s="66"/>
      <c r="C9" s="66"/>
      <c r="D9" s="66"/>
      <c r="E9" s="66"/>
      <c r="F9" s="74"/>
    </row>
    <row r="10" spans="1:11" s="5" customFormat="1" ht="18.75" customHeight="1" x14ac:dyDescent="0.25">
      <c r="A10" s="27" t="s">
        <v>6</v>
      </c>
      <c r="B10" s="27" t="s">
        <v>7</v>
      </c>
      <c r="C10" s="27">
        <v>1</v>
      </c>
      <c r="D10" s="27">
        <v>2</v>
      </c>
      <c r="E10" s="27" t="s">
        <v>8</v>
      </c>
      <c r="F10" s="27">
        <v>4</v>
      </c>
    </row>
    <row r="11" spans="1:11" ht="20.25" customHeight="1" x14ac:dyDescent="0.25">
      <c r="A11" s="33"/>
      <c r="B11" s="9" t="s">
        <v>16</v>
      </c>
      <c r="C11" s="13">
        <f>C12+C39+C43</f>
        <v>605568</v>
      </c>
      <c r="D11" s="13">
        <f>D12+D39+D43</f>
        <v>399596</v>
      </c>
      <c r="E11" s="16">
        <f>D11/C11*100</f>
        <v>65.986974212640035</v>
      </c>
      <c r="F11" s="16">
        <f>D11/196955*100</f>
        <v>202.88695387271204</v>
      </c>
      <c r="H11" s="51">
        <f>528270-C11</f>
        <v>-77298</v>
      </c>
      <c r="K11" s="1">
        <f>4.06*21%</f>
        <v>0.85259999999999991</v>
      </c>
    </row>
    <row r="12" spans="1:11" s="17" customFormat="1" ht="20.25" customHeight="1" x14ac:dyDescent="0.25">
      <c r="A12" s="33" t="s">
        <v>6</v>
      </c>
      <c r="B12" s="9" t="s">
        <v>49</v>
      </c>
      <c r="C12" s="13">
        <f>C13+C20+C36+C37+C38</f>
        <v>470690</v>
      </c>
      <c r="D12" s="13">
        <f>D13+D20+D36+D37+D38</f>
        <v>309945</v>
      </c>
      <c r="E12" s="16">
        <f>D12/C12*100</f>
        <v>65.849072638042031</v>
      </c>
      <c r="F12" s="16">
        <f>D12/196760*100</f>
        <v>157.52439520227688</v>
      </c>
      <c r="K12" s="17">
        <v>4.0599999999999996</v>
      </c>
    </row>
    <row r="13" spans="1:11" s="43" customFormat="1" ht="20.25" customHeight="1" x14ac:dyDescent="0.25">
      <c r="A13" s="54" t="s">
        <v>10</v>
      </c>
      <c r="B13" s="55" t="s">
        <v>19</v>
      </c>
      <c r="C13" s="56">
        <f>SUM(C14:C19)</f>
        <v>67010</v>
      </c>
      <c r="D13" s="56">
        <f>SUM(D14:D19)</f>
        <v>49030</v>
      </c>
      <c r="E13" s="57">
        <f>D13/C13*100</f>
        <v>73.168183853156251</v>
      </c>
      <c r="F13" s="57">
        <f>D13/19080*100</f>
        <v>256.97064989517821</v>
      </c>
      <c r="K13" s="60">
        <f>SUM(K11:K12)</f>
        <v>4.9125999999999994</v>
      </c>
    </row>
    <row r="14" spans="1:11" ht="20.25" customHeight="1" x14ac:dyDescent="0.25">
      <c r="A14" s="34">
        <v>1</v>
      </c>
      <c r="B14" s="11" t="s">
        <v>65</v>
      </c>
      <c r="C14" s="12">
        <v>26910</v>
      </c>
      <c r="D14" s="12">
        <v>22240</v>
      </c>
      <c r="E14" s="14">
        <f t="shared" ref="E14:E42" si="0">D14/C14*100</f>
        <v>82.645856558900036</v>
      </c>
      <c r="F14" s="14">
        <f>D14/8904*100</f>
        <v>249.77538185085356</v>
      </c>
      <c r="K14" s="61">
        <f>K13-4.89</f>
        <v>2.2599999999999731E-2</v>
      </c>
    </row>
    <row r="15" spans="1:11" ht="20.25" customHeight="1" x14ac:dyDescent="0.25">
      <c r="A15" s="34">
        <v>2</v>
      </c>
      <c r="B15" s="11" t="s">
        <v>66</v>
      </c>
      <c r="C15" s="12">
        <v>37500</v>
      </c>
      <c r="D15" s="12">
        <v>24616</v>
      </c>
      <c r="E15" s="14">
        <f t="shared" si="0"/>
        <v>65.64266666666667</v>
      </c>
      <c r="F15" s="14">
        <f>D15/9676*100</f>
        <v>254.40264572137247</v>
      </c>
    </row>
    <row r="16" spans="1:11" ht="20.25" customHeight="1" x14ac:dyDescent="0.25">
      <c r="A16" s="34">
        <v>3</v>
      </c>
      <c r="B16" s="11" t="s">
        <v>67</v>
      </c>
      <c r="C16" s="12"/>
      <c r="D16" s="12">
        <v>0</v>
      </c>
      <c r="E16" s="14"/>
      <c r="F16" s="14">
        <f>D16/2187*100</f>
        <v>0</v>
      </c>
    </row>
    <row r="17" spans="1:8" ht="20.25" hidden="1" customHeight="1" x14ac:dyDescent="0.25">
      <c r="A17" s="34"/>
      <c r="B17" s="11"/>
      <c r="C17" s="12"/>
      <c r="D17" s="12"/>
      <c r="E17" s="14"/>
      <c r="F17" s="14"/>
    </row>
    <row r="18" spans="1:8" ht="20.25" customHeight="1" x14ac:dyDescent="0.25">
      <c r="A18" s="34">
        <v>4</v>
      </c>
      <c r="B18" s="11" t="s">
        <v>84</v>
      </c>
      <c r="C18" s="12">
        <v>2000</v>
      </c>
      <c r="D18" s="12">
        <v>2000</v>
      </c>
      <c r="E18" s="14">
        <f t="shared" si="0"/>
        <v>100</v>
      </c>
      <c r="F18" s="14">
        <f>D18/500*100</f>
        <v>400</v>
      </c>
    </row>
    <row r="19" spans="1:8" ht="18.75" customHeight="1" x14ac:dyDescent="0.25">
      <c r="A19" s="34">
        <v>5</v>
      </c>
      <c r="B19" s="11" t="s">
        <v>87</v>
      </c>
      <c r="C19" s="12">
        <v>600</v>
      </c>
      <c r="D19" s="12">
        <v>174</v>
      </c>
      <c r="E19" s="14"/>
      <c r="F19" s="14"/>
    </row>
    <row r="20" spans="1:8" s="58" customFormat="1" ht="20.25" customHeight="1" x14ac:dyDescent="0.25">
      <c r="A20" s="54" t="s">
        <v>14</v>
      </c>
      <c r="B20" s="55" t="s">
        <v>20</v>
      </c>
      <c r="C20" s="56">
        <f>SUM(C22:C35)</f>
        <v>394290</v>
      </c>
      <c r="D20" s="56">
        <f>SUM(D22:D34)</f>
        <v>260915</v>
      </c>
      <c r="E20" s="57">
        <f>D20/C20*100</f>
        <v>66.173374927084126</v>
      </c>
      <c r="F20" s="57">
        <f>D20/176830*100</f>
        <v>147.55132047729458</v>
      </c>
      <c r="H20" s="59">
        <f>C20+14000</f>
        <v>408290</v>
      </c>
    </row>
    <row r="21" spans="1:8" ht="20.25" customHeight="1" x14ac:dyDescent="0.25">
      <c r="A21" s="34"/>
      <c r="B21" s="21" t="s">
        <v>50</v>
      </c>
      <c r="C21" s="12"/>
      <c r="D21" s="12"/>
      <c r="E21" s="16"/>
      <c r="F21" s="14"/>
    </row>
    <row r="22" spans="1:8" ht="20.25" customHeight="1" x14ac:dyDescent="0.25">
      <c r="A22" s="34">
        <v>1</v>
      </c>
      <c r="B22" s="11" t="s">
        <v>51</v>
      </c>
      <c r="C22" s="12">
        <v>206880</v>
      </c>
      <c r="D22" s="12">
        <v>137072</v>
      </c>
      <c r="E22" s="14">
        <f t="shared" si="0"/>
        <v>66.256767208043314</v>
      </c>
      <c r="F22" s="14">
        <f>D22/84225*100</f>
        <v>162.74502819827842</v>
      </c>
    </row>
    <row r="23" spans="1:8" ht="20.25" customHeight="1" x14ac:dyDescent="0.25">
      <c r="A23" s="34">
        <v>2</v>
      </c>
      <c r="B23" s="11" t="s">
        <v>52</v>
      </c>
      <c r="C23" s="12">
        <v>130</v>
      </c>
      <c r="D23" s="12">
        <v>0</v>
      </c>
      <c r="E23" s="14">
        <f t="shared" si="0"/>
        <v>0</v>
      </c>
      <c r="F23" s="14"/>
    </row>
    <row r="24" spans="1:8" ht="20.25" customHeight="1" x14ac:dyDescent="0.25">
      <c r="A24" s="34">
        <v>3</v>
      </c>
      <c r="B24" s="11" t="s">
        <v>53</v>
      </c>
      <c r="C24" s="12">
        <v>2000</v>
      </c>
      <c r="D24" s="12">
        <v>1758</v>
      </c>
      <c r="E24" s="14">
        <f t="shared" si="0"/>
        <v>87.9</v>
      </c>
      <c r="F24" s="14">
        <f>D24/1039*100</f>
        <v>169.20115495668912</v>
      </c>
    </row>
    <row r="25" spans="1:8" ht="20.25" customHeight="1" x14ac:dyDescent="0.25">
      <c r="A25" s="34">
        <v>4</v>
      </c>
      <c r="B25" s="11" t="s">
        <v>54</v>
      </c>
      <c r="C25" s="75">
        <f>6060+196</f>
        <v>6256</v>
      </c>
      <c r="D25" s="75">
        <f>4252+78</f>
        <v>4330</v>
      </c>
      <c r="E25" s="78">
        <f t="shared" si="0"/>
        <v>69.213554987212277</v>
      </c>
      <c r="F25" s="78">
        <f>D25/2467*100</f>
        <v>175.51682205107417</v>
      </c>
    </row>
    <row r="26" spans="1:8" ht="20.25" customHeight="1" x14ac:dyDescent="0.25">
      <c r="A26" s="34">
        <v>5</v>
      </c>
      <c r="B26" s="11" t="s">
        <v>55</v>
      </c>
      <c r="C26" s="76"/>
      <c r="D26" s="76"/>
      <c r="E26" s="79"/>
      <c r="F26" s="79"/>
    </row>
    <row r="27" spans="1:8" ht="20.25" customHeight="1" x14ac:dyDescent="0.25">
      <c r="A27" s="34">
        <v>6</v>
      </c>
      <c r="B27" s="11" t="s">
        <v>56</v>
      </c>
      <c r="C27" s="77"/>
      <c r="D27" s="77"/>
      <c r="E27" s="80"/>
      <c r="F27" s="80"/>
    </row>
    <row r="28" spans="1:8" ht="20.25" customHeight="1" x14ac:dyDescent="0.25">
      <c r="A28" s="34">
        <v>7</v>
      </c>
      <c r="B28" s="11" t="s">
        <v>57</v>
      </c>
      <c r="C28" s="12">
        <v>5100</v>
      </c>
      <c r="D28" s="12">
        <v>1762</v>
      </c>
      <c r="E28" s="14">
        <f t="shared" si="0"/>
        <v>34.549019607843142</v>
      </c>
      <c r="F28" s="14">
        <f>D28/682*100</f>
        <v>258.35777126099708</v>
      </c>
    </row>
    <row r="29" spans="1:8" ht="20.25" customHeight="1" x14ac:dyDescent="0.25">
      <c r="A29" s="34">
        <v>8</v>
      </c>
      <c r="B29" s="11" t="s">
        <v>58</v>
      </c>
      <c r="C29" s="12">
        <v>24965</v>
      </c>
      <c r="D29" s="12">
        <v>10561</v>
      </c>
      <c r="E29" s="14">
        <f t="shared" si="0"/>
        <v>42.30322451432005</v>
      </c>
      <c r="F29" s="14">
        <f>D29/5311*100</f>
        <v>198.85144040670306</v>
      </c>
    </row>
    <row r="30" spans="1:8" ht="20.25" customHeight="1" x14ac:dyDescent="0.25">
      <c r="A30" s="34">
        <v>9</v>
      </c>
      <c r="B30" s="11" t="s">
        <v>59</v>
      </c>
      <c r="C30" s="12">
        <v>85988</v>
      </c>
      <c r="D30" s="12">
        <v>55893</v>
      </c>
      <c r="E30" s="14">
        <f t="shared" si="0"/>
        <v>65.000930362376138</v>
      </c>
      <c r="F30" s="14">
        <f>D30/35220*100</f>
        <v>158.69676320272572</v>
      </c>
    </row>
    <row r="31" spans="1:8" ht="20.25" customHeight="1" x14ac:dyDescent="0.25">
      <c r="A31" s="34">
        <v>10</v>
      </c>
      <c r="B31" s="11" t="s">
        <v>60</v>
      </c>
      <c r="C31" s="12">
        <v>21315</v>
      </c>
      <c r="D31" s="12">
        <v>20995</v>
      </c>
      <c r="E31" s="14">
        <f t="shared" si="0"/>
        <v>98.49870982875909</v>
      </c>
      <c r="F31" s="14">
        <f>D31/31234*100</f>
        <v>67.218415828904398</v>
      </c>
    </row>
    <row r="32" spans="1:8" ht="20.25" customHeight="1" x14ac:dyDescent="0.25">
      <c r="A32" s="34">
        <v>11</v>
      </c>
      <c r="B32" s="11" t="s">
        <v>70</v>
      </c>
      <c r="C32" s="12">
        <v>35657</v>
      </c>
      <c r="D32" s="12">
        <v>25546</v>
      </c>
      <c r="E32" s="14">
        <f t="shared" si="0"/>
        <v>71.643716521300163</v>
      </c>
      <c r="F32" s="14">
        <f>D32/15494*100</f>
        <v>164.87672647476444</v>
      </c>
    </row>
    <row r="33" spans="1:6" ht="20.25" customHeight="1" x14ac:dyDescent="0.25">
      <c r="A33" s="34">
        <v>12</v>
      </c>
      <c r="B33" s="11" t="s">
        <v>71</v>
      </c>
      <c r="C33" s="12">
        <v>1300</v>
      </c>
      <c r="D33" s="12">
        <v>425</v>
      </c>
      <c r="E33" s="14">
        <f t="shared" si="0"/>
        <v>32.692307692307693</v>
      </c>
      <c r="F33" s="14">
        <f>D33/395*100</f>
        <v>107.59493670886076</v>
      </c>
    </row>
    <row r="34" spans="1:6" ht="20.25" customHeight="1" x14ac:dyDescent="0.25">
      <c r="A34" s="34">
        <v>13</v>
      </c>
      <c r="B34" s="11" t="s">
        <v>68</v>
      </c>
      <c r="C34" s="12">
        <v>4699</v>
      </c>
      <c r="D34" s="12">
        <v>2573</v>
      </c>
      <c r="E34" s="14">
        <f t="shared" si="0"/>
        <v>54.756331134283883</v>
      </c>
      <c r="F34" s="14">
        <f>D34/763*100</f>
        <v>337.22149410222806</v>
      </c>
    </row>
    <row r="35" spans="1:6" ht="36.75" hidden="1" customHeight="1" x14ac:dyDescent="0.25">
      <c r="A35" s="10">
        <v>14</v>
      </c>
      <c r="B35" s="52" t="s">
        <v>75</v>
      </c>
      <c r="C35" s="53"/>
      <c r="D35" s="12"/>
      <c r="E35" s="14"/>
      <c r="F35" s="14"/>
    </row>
    <row r="36" spans="1:6" ht="20.25" customHeight="1" x14ac:dyDescent="0.25">
      <c r="A36" s="33" t="s">
        <v>22</v>
      </c>
      <c r="B36" s="9" t="s">
        <v>21</v>
      </c>
      <c r="C36" s="13">
        <v>9390</v>
      </c>
      <c r="D36" s="13"/>
      <c r="E36" s="16">
        <f t="shared" si="0"/>
        <v>0</v>
      </c>
      <c r="F36" s="16">
        <f>D36/850*100</f>
        <v>0</v>
      </c>
    </row>
    <row r="37" spans="1:6" ht="20.25" customHeight="1" x14ac:dyDescent="0.25">
      <c r="A37" s="35" t="s">
        <v>69</v>
      </c>
      <c r="B37" s="28" t="s">
        <v>82</v>
      </c>
      <c r="C37" s="50"/>
      <c r="D37" s="50"/>
      <c r="E37" s="16"/>
      <c r="F37" s="16">
        <f>D37/100</f>
        <v>0</v>
      </c>
    </row>
    <row r="38" spans="1:6" s="31" customFormat="1" ht="29.25" hidden="1" customHeight="1" x14ac:dyDescent="0.25">
      <c r="A38" s="32"/>
      <c r="B38" s="36"/>
      <c r="C38" s="30"/>
      <c r="D38" s="29"/>
      <c r="E38" s="16"/>
      <c r="F38" s="14"/>
    </row>
    <row r="39" spans="1:6" s="17" customFormat="1" ht="19.5" customHeight="1" x14ac:dyDescent="0.25">
      <c r="A39" s="33" t="s">
        <v>7</v>
      </c>
      <c r="B39" s="9" t="s">
        <v>73</v>
      </c>
      <c r="C39" s="13">
        <f>SUM(C40:C42)</f>
        <v>134878</v>
      </c>
      <c r="D39" s="13">
        <f>SUM(D40:D42)</f>
        <v>89651</v>
      </c>
      <c r="E39" s="16">
        <f t="shared" si="0"/>
        <v>66.468215720873687</v>
      </c>
      <c r="F39" s="16">
        <f>D39/195*100</f>
        <v>45974.871794871797</v>
      </c>
    </row>
    <row r="40" spans="1:6" ht="18" customHeight="1" x14ac:dyDescent="0.25">
      <c r="A40" s="34">
        <v>1</v>
      </c>
      <c r="B40" s="11" t="s">
        <v>61</v>
      </c>
      <c r="C40" s="12"/>
      <c r="D40" s="13">
        <v>0</v>
      </c>
      <c r="E40" s="14"/>
      <c r="F40" s="14">
        <f>D40/1201*100</f>
        <v>0</v>
      </c>
    </row>
    <row r="41" spans="1:6" ht="18" customHeight="1" x14ac:dyDescent="0.25">
      <c r="A41" s="34">
        <v>2</v>
      </c>
      <c r="B41" s="11" t="s">
        <v>62</v>
      </c>
      <c r="C41" s="12"/>
      <c r="D41" s="13">
        <v>0</v>
      </c>
      <c r="E41" s="14"/>
      <c r="F41" s="14">
        <f>D41/1201*100</f>
        <v>0</v>
      </c>
    </row>
    <row r="42" spans="1:6" ht="18" customHeight="1" x14ac:dyDescent="0.25">
      <c r="A42" s="34">
        <v>3</v>
      </c>
      <c r="B42" s="11" t="s">
        <v>63</v>
      </c>
      <c r="C42" s="12">
        <v>134878</v>
      </c>
      <c r="D42" s="12">
        <v>89651</v>
      </c>
      <c r="E42" s="14">
        <f t="shared" si="0"/>
        <v>66.468215720873687</v>
      </c>
      <c r="F42" s="14">
        <f>D42/195*100</f>
        <v>45974.871794871797</v>
      </c>
    </row>
    <row r="43" spans="1:6" ht="20.25" customHeight="1" x14ac:dyDescent="0.25">
      <c r="A43" s="33" t="s">
        <v>72</v>
      </c>
      <c r="B43" s="9" t="s">
        <v>74</v>
      </c>
      <c r="C43" s="13"/>
      <c r="D43" s="13"/>
      <c r="E43" s="16"/>
      <c r="F43" s="16">
        <f>D43/2342*100</f>
        <v>0</v>
      </c>
    </row>
  </sheetData>
  <mergeCells count="17">
    <mergeCell ref="C25:C27"/>
    <mergeCell ref="D25:D27"/>
    <mergeCell ref="E25:E27"/>
    <mergeCell ref="F25:F27"/>
    <mergeCell ref="A4:F4"/>
    <mergeCell ref="E6:F6"/>
    <mergeCell ref="A1:B1"/>
    <mergeCell ref="A2:B2"/>
    <mergeCell ref="E2:F2"/>
    <mergeCell ref="A5:F5"/>
    <mergeCell ref="A7:A9"/>
    <mergeCell ref="B7:B9"/>
    <mergeCell ref="C7:C9"/>
    <mergeCell ref="D7:D9"/>
    <mergeCell ref="E7:F7"/>
    <mergeCell ref="E8:E9"/>
    <mergeCell ref="F8:F9"/>
  </mergeCells>
  <pageMargins left="0.43307086614173229" right="0.23622047244094491" top="0.74803149606299213" bottom="0.55118110236220474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 93</vt:lpstr>
      <vt:lpstr>B 94</vt:lpstr>
      <vt:lpstr>B 95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21AK22</cp:lastModifiedBy>
  <cp:lastPrinted>2023-10-09T03:14:50Z</cp:lastPrinted>
  <dcterms:created xsi:type="dcterms:W3CDTF">2018-05-20T15:07:10Z</dcterms:created>
  <dcterms:modified xsi:type="dcterms:W3CDTF">2023-10-09T03:15:07Z</dcterms:modified>
</cp:coreProperties>
</file>