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NG\THAM MƯU\Năm 2024\BÁO CÁO\Công khai\Quý III.2024\"/>
    </mc:Choice>
  </mc:AlternateContent>
  <bookViews>
    <workbookView xWindow="0" yWindow="0" windowWidth="10410" windowHeight="4890"/>
  </bookViews>
  <sheets>
    <sheet name="B 93" sheetId="1" r:id="rId1"/>
    <sheet name="B 94" sheetId="2" r:id="rId2"/>
    <sheet name="B 95" sheetId="3" r:id="rId3"/>
  </sheets>
  <calcPr calcId="152511"/>
</workbook>
</file>

<file path=xl/calcChain.xml><?xml version="1.0" encoding="utf-8"?>
<calcChain xmlns="http://schemas.openxmlformats.org/spreadsheetml/2006/main">
  <c r="F19" i="1" l="1"/>
  <c r="F18" i="1"/>
  <c r="F11" i="3"/>
  <c r="F39" i="3" l="1"/>
  <c r="F20" i="3"/>
  <c r="F13" i="3"/>
  <c r="F12" i="3"/>
  <c r="F10" i="1"/>
  <c r="F11" i="1"/>
  <c r="C12" i="1" l="1"/>
  <c r="F26" i="2" l="1"/>
  <c r="E16" i="1" l="1"/>
  <c r="D23" i="1"/>
  <c r="D17" i="1"/>
  <c r="F30" i="2"/>
  <c r="F27" i="2"/>
  <c r="F23" i="2"/>
  <c r="F22" i="2"/>
  <c r="F21" i="2"/>
  <c r="F18" i="2"/>
  <c r="F17" i="2"/>
  <c r="F15" i="2"/>
  <c r="F14" i="2"/>
  <c r="F42" i="3"/>
  <c r="F41" i="3"/>
  <c r="F34" i="3"/>
  <c r="F33" i="3"/>
  <c r="F32" i="3"/>
  <c r="F31" i="3"/>
  <c r="F30" i="3"/>
  <c r="F29" i="3"/>
  <c r="F28" i="3"/>
  <c r="F24" i="3"/>
  <c r="F22" i="3"/>
  <c r="F15" i="3"/>
  <c r="F14" i="3"/>
  <c r="D25" i="3"/>
  <c r="F25" i="3" s="1"/>
  <c r="F18" i="3" l="1"/>
  <c r="E41" i="3" l="1"/>
  <c r="F15" i="1"/>
  <c r="F14" i="1"/>
  <c r="C11" i="1" l="1"/>
  <c r="C10" i="1" s="1"/>
  <c r="C42" i="3" l="1"/>
  <c r="C25" i="3"/>
  <c r="D13" i="3" l="1"/>
  <c r="C13" i="3"/>
  <c r="D20" i="1" l="1"/>
  <c r="F20" i="1" s="1"/>
  <c r="E13" i="3"/>
  <c r="F37" i="3"/>
  <c r="F16" i="3"/>
  <c r="F26" i="1" l="1"/>
  <c r="F24" i="1"/>
  <c r="C20" i="3" l="1"/>
  <c r="E18" i="3" l="1"/>
  <c r="F43" i="3" l="1"/>
  <c r="E23" i="1" l="1"/>
  <c r="E36" i="3"/>
  <c r="D39" i="3"/>
  <c r="C39" i="3"/>
  <c r="D25" i="1" l="1"/>
  <c r="F25" i="1" s="1"/>
  <c r="E39" i="3"/>
  <c r="F40" i="3" l="1"/>
  <c r="E25" i="1" l="1"/>
  <c r="C19" i="1" l="1"/>
  <c r="E20" i="1"/>
  <c r="E33" i="3"/>
  <c r="E32" i="3"/>
  <c r="D20" i="3"/>
  <c r="E34" i="3"/>
  <c r="E15" i="3"/>
  <c r="E22" i="3"/>
  <c r="E23" i="3"/>
  <c r="E24" i="3"/>
  <c r="E25" i="3"/>
  <c r="E28" i="3"/>
  <c r="E29" i="3"/>
  <c r="E30" i="3"/>
  <c r="E31" i="3"/>
  <c r="E42" i="3"/>
  <c r="D19" i="2"/>
  <c r="F19" i="2" s="1"/>
  <c r="C19" i="2"/>
  <c r="C11" i="2" s="1"/>
  <c r="E27" i="2"/>
  <c r="C29" i="2"/>
  <c r="E22" i="2"/>
  <c r="E15" i="2"/>
  <c r="E17" i="2"/>
  <c r="E18" i="2"/>
  <c r="E21" i="2"/>
  <c r="E23" i="2"/>
  <c r="E26" i="2"/>
  <c r="E30" i="2"/>
  <c r="E14" i="2"/>
  <c r="E15" i="1"/>
  <c r="E14" i="1"/>
  <c r="D21" i="1" l="1"/>
  <c r="D12" i="3"/>
  <c r="D11" i="2"/>
  <c r="C10" i="2"/>
  <c r="E19" i="2"/>
  <c r="C18" i="1"/>
  <c r="C12" i="3"/>
  <c r="C11" i="3" s="1"/>
  <c r="E20" i="3"/>
  <c r="D31" i="2" l="1"/>
  <c r="F11" i="2"/>
  <c r="F21" i="1"/>
  <c r="E21" i="1"/>
  <c r="D19" i="1"/>
  <c r="D10" i="2"/>
  <c r="F10" i="2" s="1"/>
  <c r="D11" i="3"/>
  <c r="E11" i="2"/>
  <c r="E12" i="3"/>
  <c r="E14" i="3"/>
  <c r="F31" i="2" l="1"/>
  <c r="D29" i="2"/>
  <c r="E31" i="2"/>
  <c r="D18" i="1"/>
  <c r="E19" i="1"/>
  <c r="E10" i="2"/>
  <c r="E11" i="3"/>
  <c r="F29" i="2" l="1"/>
  <c r="D12" i="1"/>
  <c r="E29" i="2"/>
  <c r="E18" i="1"/>
  <c r="F12" i="1" l="1"/>
  <c r="E12" i="1"/>
  <c r="D11" i="1"/>
  <c r="E11" i="1" l="1"/>
  <c r="D10" i="1"/>
  <c r="E10" i="1" l="1"/>
</calcChain>
</file>

<file path=xl/sharedStrings.xml><?xml version="1.0" encoding="utf-8"?>
<sst xmlns="http://schemas.openxmlformats.org/spreadsheetml/2006/main" count="143" uniqueCount="97">
  <si>
    <t>Biểu số 93/CK-NSNN</t>
  </si>
  <si>
    <t>Đơn vị: Triệu đồng</t>
  </si>
  <si>
    <t>STT</t>
  </si>
  <si>
    <t>NỘI DUNG</t>
  </si>
  <si>
    <t>Dự toán năm</t>
  </si>
  <si>
    <t>Cùng kỳ năm trước</t>
  </si>
  <si>
    <t>A</t>
  </si>
  <si>
    <t>B</t>
  </si>
  <si>
    <t>3=2/1</t>
  </si>
  <si>
    <t>TỔNG NGUỒN THU NSNN TRÊN ĐỊA BÀN</t>
  </si>
  <si>
    <t>I</t>
  </si>
  <si>
    <t>Thu cân đối NSNN</t>
  </si>
  <si>
    <t>Thu nội địa</t>
  </si>
  <si>
    <t>Thu viện trợ</t>
  </si>
  <si>
    <t>II</t>
  </si>
  <si>
    <t>Thu chuyển nguồn từ năm trước chuyển sang</t>
  </si>
  <si>
    <t>TỔNG CHI NGÂN SÁCH HUYỆN</t>
  </si>
  <si>
    <t> I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</si>
  <si>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</si>
  <si>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</si>
  <si>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</si>
  <si>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</si>
  <si>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</si>
  <si>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NS cấp tỉnh</t>
  </si>
  <si>
    <t>ỦY BAN NHÂN DÂN</t>
  </si>
  <si>
    <t>HUYỆN TÂN CHÂU</t>
  </si>
  <si>
    <t>So với cùng kỳ</t>
  </si>
  <si>
    <t>Thu bổ sung cân đối từ NS tỉnh</t>
  </si>
  <si>
    <t>Thu từ khu vực doanh nghiệp nhà nước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</si>
  <si>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</si>
  <si>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</si>
  <si>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</si>
  <si>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</si>
  <si>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</si>
  <si>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Thu phí, lệ phí</t>
  </si>
  <si>
    <t>Các khoản thu về nhà, đất</t>
  </si>
  <si>
    <t>-</t>
  </si>
  <si>
    <t>Thuế sử dụng đất nông nghiệp</t>
  </si>
  <si>
    <t>Thuế sử dụng đất phi nông nghiệp</t>
  </si>
  <si>
    <t>Tiền cho thuê đất, thuê mặt nước</t>
  </si>
  <si>
    <t>Tiền cho thuê và tiền bán nhà ở thuộc sở hữu nhà nước</t>
  </si>
  <si>
    <t>Thu từ hoạt động xổ số kiến thiết</t>
  </si>
  <si>
    <t>Thu khác ngân sách</t>
  </si>
  <si>
    <t xml:space="preserve">THU NGÂN SÁCH HUYỆN ĐƯỢC HƯỞNG THEO PHÂN CẤP </t>
  </si>
  <si>
    <t>Từ các khoản thu phân chia</t>
  </si>
  <si>
    <t>Các khoản thu ngân sách huyện được hưởng 100%</t>
  </si>
  <si>
    <t>Thu giao quyền sử dụng đất</t>
  </si>
  <si>
    <t>Các khoản thu khác tại xã</t>
  </si>
  <si>
    <t>CHI CÂN ĐỐI NGÂN SÁCH HUYỆN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</si>
  <si>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</si>
  <si>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</si>
  <si>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</si>
  <si>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</si>
  <si>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</si>
  <si>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</si>
  <si>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</si>
  <si>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</si>
  <si>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hoạt động kinh tế</t>
  </si>
  <si>
    <t>Chi hoạt động của cơ quan quản lý hành chính, đảng, đoàn thể</t>
  </si>
  <si>
    <t>Chi bảo đảm xã hội</t>
  </si>
  <si>
    <t>Chương trình mục tiêu quốc gia</t>
  </si>
  <si>
    <t>Cho các nhiệm vụ, chính sách kinh phí thường xuyên</t>
  </si>
  <si>
    <t>Biểu số 95/CK-NSNN</t>
  </si>
  <si>
    <t>Chi XDCB tập trung</t>
  </si>
  <si>
    <t>Chi từ nguồn thu tiền SDĐ</t>
  </si>
  <si>
    <t>Chi đầu tư tạo quỹ đất phát triển</t>
  </si>
  <si>
    <t>Chi khác</t>
  </si>
  <si>
    <t>IV</t>
  </si>
  <si>
    <t>Chi an ninh quốc phòng</t>
  </si>
  <si>
    <t>Chi khen thưởng</t>
  </si>
  <si>
    <t>C</t>
  </si>
  <si>
    <t>CHI TỪ NGUỒN BỔ SUNG CÓ MỤC TIÊU</t>
  </si>
  <si>
    <t>CÁC KHOẢN THU ĐỂ LẠI CHI QUẢN LÝ QUA NSNN</t>
  </si>
  <si>
    <t>Dự toán chi chưa phân bổ (từ nguồn tăng thu so chỉ tiêu pháp lệnh)</t>
  </si>
  <si>
    <t>Biểu 94/CK-NSNN</t>
  </si>
  <si>
    <t>Thu nội địa được hưởng theo phân cấp</t>
  </si>
  <si>
    <t>Dự phòng</t>
  </si>
  <si>
    <t>Chi các khoản thu để lại quản lý qua NSNN</t>
  </si>
  <si>
    <t>TỔNG THU NSNN TRÊN ĐỊA BÀN (I+II)</t>
  </si>
  <si>
    <t>So sánh thực hiện với (%)</t>
  </si>
  <si>
    <t>Chi tạo nguồn CCTL</t>
  </si>
  <si>
    <t>Cùng kỳ năm trước</t>
  </si>
  <si>
    <t>Chi ủy thác qua NHCSXH</t>
  </si>
  <si>
    <t>Dự toán năm 
2024</t>
  </si>
  <si>
    <t>Dự toán năm 2024</t>
  </si>
  <si>
    <t>Thu nguồn CCTL</t>
  </si>
  <si>
    <t>Cho các chương trình dự án vốn đầu tư</t>
  </si>
  <si>
    <t>V</t>
  </si>
  <si>
    <t>Chi từ nguồn tiết kiệm thêm 10% chi TX dự toán 2024 so 2023</t>
  </si>
  <si>
    <t>CÂN ĐỐI NGÂN SÁCH HUYỆN 9 THÁNG NĂM 2024</t>
  </si>
  <si>
    <t>Thực hiện 9 tháng năm 2024</t>
  </si>
  <si>
    <t>(Kèm theo Báo cáo số:         /BC-UBND ngày        tháng 10 năm 2024 của UBND huyện Tân Châu)</t>
  </si>
  <si>
    <t xml:space="preserve"> THỰC HIỆN THU NGÂN SÁCH NHÀ NƯỚC 9 THÁNG NĂM 2024</t>
  </si>
  <si>
    <t>(Kèm theo Báo cáo số:          /BC-UBND ngày        tháng 10 năm 2024 của UBND huyện Tân Châu)</t>
  </si>
  <si>
    <t>(Kèm theo Báo cáo số:          /BC-UBND ngày        tháng  10  năm 2024 của UBND huyện Tân Châu)</t>
  </si>
  <si>
    <t>THỰC HIỆN CHI NGÂN SÁCH HUYỆN 9 THÁNG NĂM 2024</t>
  </si>
  <si>
    <t xml:space="preserve">Thu từ bổ sung có mục tiêu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</si>
</sst>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43" fontId="7" fillId="0" borderId="1" xfId="1" applyNumberFormat="1" applyFont="1" applyBorder="1" applyAlignment="1">
      <alignment vertical="center" wrapText="1"/>
    </xf>
    <xf numFmtId="164" fontId="14" fillId="2" borderId="1" xfId="1" applyNumberFormat="1" applyFont="1" applyFill="1" applyBorder="1" applyAlignment="1">
      <alignment vertical="center" wrapText="1"/>
    </xf>
    <xf numFmtId="43" fontId="6" fillId="0" borderId="1" xfId="1" applyNumberFormat="1" applyFont="1" applyBorder="1" applyAlignment="1">
      <alignment vertical="center" wrapText="1"/>
    </xf>
    <xf numFmtId="0" fontId="15" fillId="0" borderId="0" xfId="0" applyFont="1"/>
    <xf numFmtId="164" fontId="6" fillId="0" borderId="1" xfId="0" applyNumberFormat="1" applyFont="1" applyBorder="1" applyAlignment="1">
      <alignment vertical="center" wrapText="1"/>
    </xf>
    <xf numFmtId="43" fontId="6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3" fontId="7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3" fontId="7" fillId="0" borderId="1" xfId="1" applyNumberFormat="1" applyFont="1" applyBorder="1" applyAlignment="1">
      <alignment horizontal="center" vertical="center" wrapText="1"/>
    </xf>
    <xf numFmtId="43" fontId="6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4" fontId="7" fillId="0" borderId="3" xfId="1" applyNumberFormat="1" applyFont="1" applyBorder="1" applyAlignment="1">
      <alignment vertical="center" wrapText="1"/>
    </xf>
    <xf numFmtId="164" fontId="15" fillId="0" borderId="1" xfId="1" applyNumberFormat="1" applyFont="1" applyBorder="1"/>
    <xf numFmtId="0" fontId="15" fillId="0" borderId="0" xfId="0" applyFont="1" applyBorder="1"/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43" fontId="15" fillId="0" borderId="1" xfId="0" applyNumberFormat="1" applyFont="1" applyBorder="1"/>
    <xf numFmtId="43" fontId="3" fillId="0" borderId="0" xfId="0" applyNumberFormat="1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164" fontId="8" fillId="0" borderId="1" xfId="1" applyNumberFormat="1" applyFont="1" applyBorder="1" applyAlignment="1">
      <alignment horizontal="center" vertical="center" wrapText="1"/>
    </xf>
    <xf numFmtId="43" fontId="8" fillId="0" borderId="1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3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43" fontId="7" fillId="0" borderId="3" xfId="1" applyNumberFormat="1" applyFont="1" applyBorder="1" applyAlignment="1">
      <alignment horizontal="center" vertical="center" wrapText="1"/>
    </xf>
    <xf numFmtId="43" fontId="7" fillId="0" borderId="5" xfId="1" applyNumberFormat="1" applyFont="1" applyBorder="1" applyAlignment="1">
      <alignment horizontal="center" vertical="center" wrapText="1"/>
    </xf>
    <xf numFmtId="43" fontId="7" fillId="0" borderId="4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191732</xdr:rowOff>
    </xdr:from>
    <xdr:to>
      <xdr:col>1</xdr:col>
      <xdr:colOff>781050</xdr:colOff>
      <xdr:row>1</xdr:row>
      <xdr:rowOff>191732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6200" y="440210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190500</xdr:rowOff>
    </xdr:from>
    <xdr:to>
      <xdr:col>1</xdr:col>
      <xdr:colOff>772353</xdr:colOff>
      <xdr:row>1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" y="390525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9525</xdr:rowOff>
    </xdr:from>
    <xdr:to>
      <xdr:col>1</xdr:col>
      <xdr:colOff>839028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3350" y="409575"/>
          <a:ext cx="104857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3" zoomScaleNormal="100" workbookViewId="0">
      <selection activeCell="F25" sqref="F25"/>
    </sheetView>
  </sheetViews>
  <sheetFormatPr defaultRowHeight="15.75" x14ac:dyDescent="0.25"/>
  <cols>
    <col min="1" max="1" width="6.5703125" style="1" customWidth="1"/>
    <col min="2" max="2" width="48" style="1" customWidth="1"/>
    <col min="3" max="4" width="11.85546875" style="1" customWidth="1"/>
    <col min="5" max="5" width="11.28515625" style="1" customWidth="1"/>
    <col min="6" max="6" width="11.7109375" style="1" customWidth="1"/>
    <col min="7" max="16384" width="9.140625" style="1"/>
  </cols>
  <sheetData>
    <row r="1" spans="1:6" ht="19.5" customHeight="1" x14ac:dyDescent="0.25">
      <c r="A1" s="56" t="s">
        <v>24</v>
      </c>
      <c r="B1" s="56"/>
    </row>
    <row r="2" spans="1:6" x14ac:dyDescent="0.25">
      <c r="A2" s="57" t="s">
        <v>25</v>
      </c>
      <c r="B2" s="57"/>
      <c r="E2" s="58" t="s">
        <v>0</v>
      </c>
      <c r="F2" s="58"/>
    </row>
    <row r="3" spans="1:6" x14ac:dyDescent="0.25">
      <c r="A3" s="46"/>
      <c r="B3" s="46"/>
      <c r="E3" s="47"/>
      <c r="F3" s="47"/>
    </row>
    <row r="4" spans="1:6" ht="21.75" customHeight="1" x14ac:dyDescent="0.25">
      <c r="A4" s="60" t="s">
        <v>89</v>
      </c>
      <c r="B4" s="60"/>
      <c r="C4" s="60"/>
      <c r="D4" s="60"/>
      <c r="E4" s="60"/>
      <c r="F4" s="60"/>
    </row>
    <row r="5" spans="1:6" ht="21.75" customHeight="1" x14ac:dyDescent="0.25">
      <c r="A5" s="62" t="s">
        <v>91</v>
      </c>
      <c r="B5" s="63"/>
      <c r="C5" s="63"/>
      <c r="D5" s="63"/>
      <c r="E5" s="63"/>
      <c r="F5" s="63"/>
    </row>
    <row r="6" spans="1:6" ht="20.25" customHeight="1" x14ac:dyDescent="0.25">
      <c r="A6" s="4"/>
      <c r="B6" s="4"/>
      <c r="C6" s="4"/>
      <c r="D6" s="4"/>
      <c r="E6" s="61" t="s">
        <v>1</v>
      </c>
      <c r="F6" s="61"/>
    </row>
    <row r="7" spans="1:6" ht="32.25" customHeight="1" x14ac:dyDescent="0.25">
      <c r="A7" s="59" t="s">
        <v>2</v>
      </c>
      <c r="B7" s="59" t="s">
        <v>3</v>
      </c>
      <c r="C7" s="59" t="s">
        <v>83</v>
      </c>
      <c r="D7" s="59" t="s">
        <v>90</v>
      </c>
      <c r="E7" s="59" t="s">
        <v>79</v>
      </c>
      <c r="F7" s="59"/>
    </row>
    <row r="8" spans="1:6" ht="54.75" customHeight="1" x14ac:dyDescent="0.25">
      <c r="A8" s="59"/>
      <c r="B8" s="59"/>
      <c r="C8" s="59"/>
      <c r="D8" s="59"/>
      <c r="E8" s="7" t="s">
        <v>4</v>
      </c>
      <c r="F8" s="7" t="s">
        <v>26</v>
      </c>
    </row>
    <row r="9" spans="1:6" s="6" customFormat="1" ht="12.75" x14ac:dyDescent="0.2">
      <c r="A9" s="8" t="s">
        <v>6</v>
      </c>
      <c r="B9" s="8" t="s">
        <v>7</v>
      </c>
      <c r="C9" s="8">
        <v>1</v>
      </c>
      <c r="D9" s="8">
        <v>2</v>
      </c>
      <c r="E9" s="8" t="s">
        <v>8</v>
      </c>
      <c r="F9" s="8">
        <v>4</v>
      </c>
    </row>
    <row r="10" spans="1:6" ht="21.75" customHeight="1" x14ac:dyDescent="0.25">
      <c r="A10" s="7" t="s">
        <v>6</v>
      </c>
      <c r="B10" s="38" t="s">
        <v>9</v>
      </c>
      <c r="C10" s="18">
        <f>C11+C17+C15+C16+C14</f>
        <v>665837</v>
      </c>
      <c r="D10" s="18">
        <f>D11+D17+D15+D16+D14</f>
        <v>1159356</v>
      </c>
      <c r="E10" s="19">
        <f>D10/C10*100</f>
        <v>174.12009245506033</v>
      </c>
      <c r="F10" s="19">
        <f>D10/(497816+366179)*100</f>
        <v>134.18549875867339</v>
      </c>
    </row>
    <row r="11" spans="1:6" ht="21.75" customHeight="1" x14ac:dyDescent="0.25">
      <c r="A11" s="7" t="s">
        <v>10</v>
      </c>
      <c r="B11" s="38" t="s">
        <v>11</v>
      </c>
      <c r="C11" s="18">
        <f>C12</f>
        <v>351696</v>
      </c>
      <c r="D11" s="18">
        <f>D12</f>
        <v>313043</v>
      </c>
      <c r="E11" s="19">
        <f>D11/C11*100</f>
        <v>89.009542332014007</v>
      </c>
      <c r="F11" s="19">
        <f>F12</f>
        <v>117.42003968477238</v>
      </c>
    </row>
    <row r="12" spans="1:6" ht="21.75" customHeight="1" x14ac:dyDescent="0.25">
      <c r="A12" s="10">
        <v>1</v>
      </c>
      <c r="B12" s="39" t="s">
        <v>75</v>
      </c>
      <c r="C12" s="12">
        <f>120696+231000</f>
        <v>351696</v>
      </c>
      <c r="D12" s="12">
        <f>'B 94'!D29</f>
        <v>313043</v>
      </c>
      <c r="E12" s="14">
        <f>D12/C12*100</f>
        <v>89.009542332014007</v>
      </c>
      <c r="F12" s="14">
        <f>D12/266601*100</f>
        <v>117.42003968477238</v>
      </c>
    </row>
    <row r="13" spans="1:6" ht="21.75" customHeight="1" x14ac:dyDescent="0.25">
      <c r="A13" s="10">
        <v>2</v>
      </c>
      <c r="B13" s="39" t="s">
        <v>13</v>
      </c>
      <c r="C13" s="12"/>
      <c r="D13" s="12"/>
      <c r="E13" s="14"/>
      <c r="F13" s="12"/>
    </row>
    <row r="14" spans="1:6" s="17" customFormat="1" ht="21.75" customHeight="1" x14ac:dyDescent="0.25">
      <c r="A14" s="54" t="s">
        <v>14</v>
      </c>
      <c r="B14" s="38" t="s">
        <v>27</v>
      </c>
      <c r="C14" s="13">
        <v>77868</v>
      </c>
      <c r="D14" s="13">
        <v>91370</v>
      </c>
      <c r="E14" s="16">
        <f t="shared" ref="E14" si="0">D14/C14*100</f>
        <v>117.33960034930908</v>
      </c>
      <c r="F14" s="16">
        <f>D14/54636*100</f>
        <v>167.23405813017058</v>
      </c>
    </row>
    <row r="15" spans="1:6" s="17" customFormat="1" ht="21.75" customHeight="1" x14ac:dyDescent="0.25">
      <c r="A15" s="7" t="s">
        <v>22</v>
      </c>
      <c r="B15" s="38" t="s">
        <v>96</v>
      </c>
      <c r="C15" s="13">
        <v>168023</v>
      </c>
      <c r="D15" s="13">
        <v>420732</v>
      </c>
      <c r="E15" s="16">
        <f>D15/C15*100</f>
        <v>250.40143313713003</v>
      </c>
      <c r="F15" s="16">
        <f>D15/107619*100</f>
        <v>390.94583670169766</v>
      </c>
    </row>
    <row r="16" spans="1:6" s="17" customFormat="1" ht="21.75" customHeight="1" x14ac:dyDescent="0.25">
      <c r="A16" s="53" t="s">
        <v>67</v>
      </c>
      <c r="B16" s="38" t="s">
        <v>85</v>
      </c>
      <c r="C16" s="13">
        <v>68250</v>
      </c>
      <c r="D16" s="13">
        <v>68250</v>
      </c>
      <c r="E16" s="16">
        <f>D16/C16*100</f>
        <v>100</v>
      </c>
      <c r="F16" s="16"/>
    </row>
    <row r="17" spans="1:6" ht="21.75" customHeight="1" x14ac:dyDescent="0.25">
      <c r="A17" s="7" t="s">
        <v>87</v>
      </c>
      <c r="B17" s="38" t="s">
        <v>15</v>
      </c>
      <c r="C17" s="15"/>
      <c r="D17" s="13">
        <f>334211-D16</f>
        <v>265961</v>
      </c>
      <c r="E17" s="14"/>
      <c r="F17" s="13"/>
    </row>
    <row r="18" spans="1:6" ht="21.75" customHeight="1" x14ac:dyDescent="0.25">
      <c r="A18" s="7" t="s">
        <v>7</v>
      </c>
      <c r="B18" s="38" t="s">
        <v>16</v>
      </c>
      <c r="C18" s="13">
        <f>C19+C25+C26</f>
        <v>665837</v>
      </c>
      <c r="D18" s="13">
        <f>D19+D25+D26</f>
        <v>486976</v>
      </c>
      <c r="E18" s="16">
        <f>D18/C18*100</f>
        <v>73.137419518590889</v>
      </c>
      <c r="F18" s="16">
        <f>D18/399596*100</f>
        <v>121.86708575661417</v>
      </c>
    </row>
    <row r="19" spans="1:6" s="17" customFormat="1" ht="21.75" customHeight="1" x14ac:dyDescent="0.25">
      <c r="A19" s="7" t="s">
        <v>17</v>
      </c>
      <c r="B19" s="38" t="s">
        <v>18</v>
      </c>
      <c r="C19" s="13">
        <f>SUM(C20:C24)</f>
        <v>497814</v>
      </c>
      <c r="D19" s="13">
        <f>SUM(D20:D24)</f>
        <v>402205</v>
      </c>
      <c r="E19" s="16">
        <f>D19/C19*100</f>
        <v>80.794232383982774</v>
      </c>
      <c r="F19" s="16">
        <f>D19/309945*100</f>
        <v>129.76657148848989</v>
      </c>
    </row>
    <row r="20" spans="1:6" ht="18" customHeight="1" x14ac:dyDescent="0.25">
      <c r="A20" s="10">
        <v>1</v>
      </c>
      <c r="B20" s="39" t="s">
        <v>19</v>
      </c>
      <c r="C20" s="12">
        <v>60910</v>
      </c>
      <c r="D20" s="12">
        <f>'B 95'!D13</f>
        <v>44162</v>
      </c>
      <c r="E20" s="14">
        <f>D20/C20*100</f>
        <v>72.503693974716796</v>
      </c>
      <c r="F20" s="14">
        <f>D20/49030*100</f>
        <v>90.071384866408323</v>
      </c>
    </row>
    <row r="21" spans="1:6" ht="18" customHeight="1" x14ac:dyDescent="0.25">
      <c r="A21" s="10">
        <v>2</v>
      </c>
      <c r="B21" s="39" t="s">
        <v>20</v>
      </c>
      <c r="C21" s="12">
        <v>426955</v>
      </c>
      <c r="D21" s="12">
        <f>'B 95'!D20</f>
        <v>357620</v>
      </c>
      <c r="E21" s="14">
        <f>D21/C21*100</f>
        <v>83.760583668068065</v>
      </c>
      <c r="F21" s="14">
        <f>D21/260915*100</f>
        <v>137.06379472241917</v>
      </c>
    </row>
    <row r="22" spans="1:6" ht="30.75" hidden="1" customHeight="1" x14ac:dyDescent="0.25">
      <c r="A22" s="10"/>
      <c r="B22" s="39"/>
      <c r="C22" s="12"/>
      <c r="D22" s="12"/>
      <c r="E22" s="14"/>
      <c r="F22" s="14"/>
    </row>
    <row r="23" spans="1:6" ht="18" customHeight="1" x14ac:dyDescent="0.25">
      <c r="A23" s="10">
        <v>3</v>
      </c>
      <c r="B23" s="39" t="s">
        <v>76</v>
      </c>
      <c r="C23" s="12">
        <v>9949</v>
      </c>
      <c r="D23" s="12">
        <f>'B 95'!D36</f>
        <v>423</v>
      </c>
      <c r="E23" s="14">
        <f t="shared" ref="E23" si="1">D23/C23*100</f>
        <v>4.2516835862900795</v>
      </c>
      <c r="F23" s="14"/>
    </row>
    <row r="24" spans="1:6" ht="18" customHeight="1" x14ac:dyDescent="0.25">
      <c r="A24" s="10">
        <v>4</v>
      </c>
      <c r="B24" s="39" t="s">
        <v>80</v>
      </c>
      <c r="C24" s="12">
        <v>0</v>
      </c>
      <c r="D24" s="12"/>
      <c r="E24" s="14"/>
      <c r="F24" s="14">
        <f>D24/1415*100</f>
        <v>0</v>
      </c>
    </row>
    <row r="25" spans="1:6" ht="27.75" customHeight="1" x14ac:dyDescent="0.25">
      <c r="A25" s="7" t="s">
        <v>22</v>
      </c>
      <c r="B25" s="38" t="s">
        <v>23</v>
      </c>
      <c r="C25" s="13">
        <v>168023</v>
      </c>
      <c r="D25" s="13">
        <f>'B 95'!D39</f>
        <v>84771</v>
      </c>
      <c r="E25" s="19">
        <f>D25/C25*100</f>
        <v>50.452021449444416</v>
      </c>
      <c r="F25" s="16">
        <f>D25/89651*100</f>
        <v>94.55666975270772</v>
      </c>
    </row>
    <row r="26" spans="1:6" s="17" customFormat="1" ht="21.75" customHeight="1" x14ac:dyDescent="0.25">
      <c r="A26" s="37" t="s">
        <v>67</v>
      </c>
      <c r="B26" s="40" t="s">
        <v>77</v>
      </c>
      <c r="C26" s="30"/>
      <c r="D26" s="30"/>
      <c r="E26" s="44"/>
      <c r="F26" s="16">
        <f>D26/2298*100</f>
        <v>0</v>
      </c>
    </row>
    <row r="27" spans="1:6" x14ac:dyDescent="0.25">
      <c r="A27" s="3"/>
    </row>
    <row r="28" spans="1:6" x14ac:dyDescent="0.25">
      <c r="A28" s="3"/>
    </row>
  </sheetData>
  <mergeCells count="11">
    <mergeCell ref="A1:B1"/>
    <mergeCell ref="A2:B2"/>
    <mergeCell ref="E2:F2"/>
    <mergeCell ref="A7:A8"/>
    <mergeCell ref="B7:B8"/>
    <mergeCell ref="C7:C8"/>
    <mergeCell ref="D7:D8"/>
    <mergeCell ref="E7:F7"/>
    <mergeCell ref="A4:F4"/>
    <mergeCell ref="E6:F6"/>
    <mergeCell ref="A5:F5"/>
  </mergeCells>
  <pageMargins left="0.5" right="0.2" top="0.75" bottom="0.75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E34" sqref="E34"/>
    </sheetView>
  </sheetViews>
  <sheetFormatPr defaultRowHeight="15.75" x14ac:dyDescent="0.25"/>
  <cols>
    <col min="1" max="1" width="6.5703125" style="1" customWidth="1"/>
    <col min="2" max="2" width="52.28515625" style="1" customWidth="1"/>
    <col min="3" max="3" width="11.5703125" style="1" customWidth="1"/>
    <col min="4" max="4" width="10.85546875" style="1" customWidth="1"/>
    <col min="5" max="5" width="11.7109375" style="1" customWidth="1"/>
    <col min="6" max="6" width="11.5703125" style="1" customWidth="1"/>
    <col min="7" max="16384" width="9.140625" style="1"/>
  </cols>
  <sheetData>
    <row r="1" spans="1:6" x14ac:dyDescent="0.25">
      <c r="A1" s="56" t="s">
        <v>24</v>
      </c>
      <c r="B1" s="56"/>
    </row>
    <row r="2" spans="1:6" x14ac:dyDescent="0.25">
      <c r="A2" s="57" t="s">
        <v>25</v>
      </c>
      <c r="B2" s="57"/>
      <c r="E2" s="58" t="s">
        <v>74</v>
      </c>
      <c r="F2" s="58"/>
    </row>
    <row r="4" spans="1:6" ht="21.75" customHeight="1" x14ac:dyDescent="0.25">
      <c r="A4" s="60" t="s">
        <v>92</v>
      </c>
      <c r="B4" s="60"/>
      <c r="C4" s="60"/>
      <c r="D4" s="60"/>
      <c r="E4" s="60"/>
      <c r="F4" s="60"/>
    </row>
    <row r="5" spans="1:6" s="43" customFormat="1" ht="21.75" customHeight="1" x14ac:dyDescent="0.25">
      <c r="A5" s="65" t="s">
        <v>93</v>
      </c>
      <c r="B5" s="65"/>
      <c r="C5" s="65"/>
      <c r="D5" s="65"/>
      <c r="E5" s="65"/>
      <c r="F5" s="65"/>
    </row>
    <row r="6" spans="1:6" ht="23.25" customHeight="1" x14ac:dyDescent="0.25">
      <c r="A6" s="20"/>
      <c r="E6" s="64" t="s">
        <v>1</v>
      </c>
      <c r="F6" s="64"/>
    </row>
    <row r="7" spans="1:6" ht="31.5" customHeight="1" x14ac:dyDescent="0.25">
      <c r="A7" s="59" t="s">
        <v>2</v>
      </c>
      <c r="B7" s="59" t="s">
        <v>3</v>
      </c>
      <c r="C7" s="59" t="s">
        <v>84</v>
      </c>
      <c r="D7" s="59" t="s">
        <v>90</v>
      </c>
      <c r="E7" s="59" t="s">
        <v>79</v>
      </c>
      <c r="F7" s="59"/>
    </row>
    <row r="8" spans="1:6" ht="38.25" customHeight="1" x14ac:dyDescent="0.25">
      <c r="A8" s="59"/>
      <c r="B8" s="59"/>
      <c r="C8" s="59"/>
      <c r="D8" s="59"/>
      <c r="E8" s="7" t="s">
        <v>4</v>
      </c>
      <c r="F8" s="7" t="s">
        <v>5</v>
      </c>
    </row>
    <row r="9" spans="1:6" x14ac:dyDescent="0.25">
      <c r="A9" s="10" t="s">
        <v>6</v>
      </c>
      <c r="B9" s="10" t="s">
        <v>7</v>
      </c>
      <c r="C9" s="10">
        <v>1</v>
      </c>
      <c r="D9" s="10">
        <v>2</v>
      </c>
      <c r="E9" s="10" t="s">
        <v>8</v>
      </c>
      <c r="F9" s="10">
        <v>4</v>
      </c>
    </row>
    <row r="10" spans="1:6" ht="21.75" customHeight="1" x14ac:dyDescent="0.25">
      <c r="A10" s="7" t="s">
        <v>6</v>
      </c>
      <c r="B10" s="9" t="s">
        <v>78</v>
      </c>
      <c r="C10" s="41">
        <f>C11</f>
        <v>235000</v>
      </c>
      <c r="D10" s="41">
        <f>D11</f>
        <v>209683</v>
      </c>
      <c r="E10" s="42">
        <f>D10/C10*100</f>
        <v>89.226808510638307</v>
      </c>
      <c r="F10" s="26">
        <f>D10/191262*100</f>
        <v>109.63129110853176</v>
      </c>
    </row>
    <row r="11" spans="1:6" ht="21.75" customHeight="1" x14ac:dyDescent="0.25">
      <c r="A11" s="7" t="s">
        <v>10</v>
      </c>
      <c r="B11" s="9" t="s">
        <v>12</v>
      </c>
      <c r="C11" s="23">
        <f>SUM(C12:C19)+C26+C27</f>
        <v>235000</v>
      </c>
      <c r="D11" s="23">
        <f>SUM(D12:D19)+D26+D27</f>
        <v>209683</v>
      </c>
      <c r="E11" s="26">
        <f>D11/C11*100</f>
        <v>89.226808510638307</v>
      </c>
      <c r="F11" s="26">
        <f>D11/191262*100</f>
        <v>109.63129110853176</v>
      </c>
    </row>
    <row r="12" spans="1:6" ht="21.75" customHeight="1" x14ac:dyDescent="0.25">
      <c r="A12" s="10">
        <v>1</v>
      </c>
      <c r="B12" s="11" t="s">
        <v>28</v>
      </c>
      <c r="C12" s="24"/>
      <c r="D12" s="24"/>
      <c r="E12" s="24"/>
      <c r="F12" s="24"/>
    </row>
    <row r="13" spans="1:6" ht="21.75" customHeight="1" x14ac:dyDescent="0.25">
      <c r="A13" s="10">
        <v>2</v>
      </c>
      <c r="B13" s="11" t="s">
        <v>29</v>
      </c>
      <c r="C13" s="24"/>
      <c r="D13" s="24"/>
      <c r="E13" s="24"/>
      <c r="F13" s="24"/>
    </row>
    <row r="14" spans="1:6" ht="21.75" customHeight="1" x14ac:dyDescent="0.25">
      <c r="A14" s="10">
        <v>3</v>
      </c>
      <c r="B14" s="11" t="s">
        <v>30</v>
      </c>
      <c r="C14" s="24">
        <v>121130</v>
      </c>
      <c r="D14" s="24">
        <v>93865</v>
      </c>
      <c r="E14" s="22">
        <f>D14/C14*100</f>
        <v>77.491125237348299</v>
      </c>
      <c r="F14" s="22">
        <f>D14/90448*100</f>
        <v>103.7778613125774</v>
      </c>
    </row>
    <row r="15" spans="1:6" ht="21.75" customHeight="1" x14ac:dyDescent="0.25">
      <c r="A15" s="10">
        <v>4</v>
      </c>
      <c r="B15" s="11" t="s">
        <v>31</v>
      </c>
      <c r="C15" s="24">
        <v>40000</v>
      </c>
      <c r="D15" s="24">
        <v>25567</v>
      </c>
      <c r="E15" s="22">
        <f>D15/C15*100</f>
        <v>63.917500000000004</v>
      </c>
      <c r="F15" s="22">
        <f>D15/29409*100</f>
        <v>86.935971981366251</v>
      </c>
    </row>
    <row r="16" spans="1:6" ht="21.75" customHeight="1" x14ac:dyDescent="0.25">
      <c r="A16" s="10">
        <v>5</v>
      </c>
      <c r="B16" s="11" t="s">
        <v>32</v>
      </c>
      <c r="C16" s="24"/>
      <c r="D16" s="24"/>
      <c r="E16" s="22">
        <v>0</v>
      </c>
      <c r="F16" s="22"/>
    </row>
    <row r="17" spans="1:9" ht="21.75" customHeight="1" x14ac:dyDescent="0.25">
      <c r="A17" s="10">
        <v>6</v>
      </c>
      <c r="B17" s="11" t="s">
        <v>33</v>
      </c>
      <c r="C17" s="24">
        <v>21500</v>
      </c>
      <c r="D17" s="24">
        <v>19422</v>
      </c>
      <c r="E17" s="22">
        <f t="shared" ref="E17:E31" si="0">D17/C17*100</f>
        <v>90.334883720930236</v>
      </c>
      <c r="F17" s="22">
        <f>D17/15812*100</f>
        <v>122.83076144700227</v>
      </c>
    </row>
    <row r="18" spans="1:9" ht="21.75" customHeight="1" x14ac:dyDescent="0.25">
      <c r="A18" s="10">
        <v>7</v>
      </c>
      <c r="B18" s="11" t="s">
        <v>34</v>
      </c>
      <c r="C18" s="24">
        <v>3300</v>
      </c>
      <c r="D18" s="24">
        <v>3287</v>
      </c>
      <c r="E18" s="22">
        <f t="shared" si="0"/>
        <v>99.606060606060609</v>
      </c>
      <c r="F18" s="22">
        <f>D18/3031*100</f>
        <v>108.44605740679644</v>
      </c>
    </row>
    <row r="19" spans="1:9" ht="21.75" customHeight="1" x14ac:dyDescent="0.25">
      <c r="A19" s="10">
        <v>8</v>
      </c>
      <c r="B19" s="11" t="s">
        <v>35</v>
      </c>
      <c r="C19" s="24">
        <f>C20+C21+C22+C23</f>
        <v>36620</v>
      </c>
      <c r="D19" s="24">
        <f t="shared" ref="D19" si="1">D20+D21+D22+D23</f>
        <v>48919</v>
      </c>
      <c r="E19" s="22">
        <f t="shared" si="0"/>
        <v>133.58547241944291</v>
      </c>
      <c r="F19" s="22">
        <f>D19/41176*100</f>
        <v>118.8046434816398</v>
      </c>
    </row>
    <row r="20" spans="1:9" ht="21.75" customHeight="1" x14ac:dyDescent="0.25">
      <c r="A20" s="10" t="s">
        <v>36</v>
      </c>
      <c r="B20" s="21" t="s">
        <v>37</v>
      </c>
      <c r="C20" s="48"/>
      <c r="D20" s="48">
        <v>18</v>
      </c>
      <c r="E20" s="49">
        <v>0</v>
      </c>
      <c r="F20" s="49"/>
    </row>
    <row r="21" spans="1:9" ht="21.75" customHeight="1" x14ac:dyDescent="0.25">
      <c r="A21" s="10" t="s">
        <v>36</v>
      </c>
      <c r="B21" s="21" t="s">
        <v>38</v>
      </c>
      <c r="C21" s="48">
        <v>120</v>
      </c>
      <c r="D21" s="48">
        <v>177</v>
      </c>
      <c r="E21" s="49">
        <f t="shared" si="0"/>
        <v>147.5</v>
      </c>
      <c r="F21" s="49">
        <f>D21/184*100</f>
        <v>96.195652173913047</v>
      </c>
    </row>
    <row r="22" spans="1:9" ht="21.75" customHeight="1" x14ac:dyDescent="0.25">
      <c r="A22" s="10" t="s">
        <v>36</v>
      </c>
      <c r="B22" s="21" t="s">
        <v>46</v>
      </c>
      <c r="C22" s="48">
        <v>32000</v>
      </c>
      <c r="D22" s="48">
        <v>42346</v>
      </c>
      <c r="E22" s="49">
        <f t="shared" si="0"/>
        <v>132.33124999999998</v>
      </c>
      <c r="F22" s="49">
        <f>D22/26184*100</f>
        <v>161.7247173846624</v>
      </c>
    </row>
    <row r="23" spans="1:9" ht="21.75" customHeight="1" x14ac:dyDescent="0.25">
      <c r="A23" s="10" t="s">
        <v>36</v>
      </c>
      <c r="B23" s="21" t="s">
        <v>39</v>
      </c>
      <c r="C23" s="48">
        <v>4500</v>
      </c>
      <c r="D23" s="48">
        <v>6378</v>
      </c>
      <c r="E23" s="49">
        <f t="shared" si="0"/>
        <v>141.73333333333332</v>
      </c>
      <c r="F23" s="49">
        <f>D23/14809*100</f>
        <v>43.068404348706871</v>
      </c>
    </row>
    <row r="24" spans="1:9" ht="24" customHeight="1" x14ac:dyDescent="0.25">
      <c r="A24" s="10" t="s">
        <v>36</v>
      </c>
      <c r="B24" s="21" t="s">
        <v>40</v>
      </c>
      <c r="C24" s="48"/>
      <c r="D24" s="48"/>
      <c r="E24" s="49">
        <v>0</v>
      </c>
      <c r="F24" s="49"/>
    </row>
    <row r="25" spans="1:9" ht="21.75" hidden="1" customHeight="1" x14ac:dyDescent="0.25">
      <c r="A25" s="10">
        <v>9</v>
      </c>
      <c r="B25" s="11" t="s">
        <v>41</v>
      </c>
      <c r="C25" s="24">
        <v>0</v>
      </c>
      <c r="D25" s="24">
        <v>0</v>
      </c>
      <c r="E25" s="25">
        <v>0</v>
      </c>
      <c r="F25" s="25">
        <v>0</v>
      </c>
    </row>
    <row r="26" spans="1:9" ht="21.75" customHeight="1" x14ac:dyDescent="0.25">
      <c r="A26" s="10">
        <v>9</v>
      </c>
      <c r="B26" s="11" t="s">
        <v>42</v>
      </c>
      <c r="C26" s="24">
        <v>12000</v>
      </c>
      <c r="D26" s="24">
        <v>18020</v>
      </c>
      <c r="E26" s="25">
        <f t="shared" si="0"/>
        <v>150.16666666666666</v>
      </c>
      <c r="F26" s="25">
        <f>D26/11027*100</f>
        <v>163.4170671986941</v>
      </c>
    </row>
    <row r="27" spans="1:9" ht="21.75" customHeight="1" x14ac:dyDescent="0.25">
      <c r="A27" s="10">
        <v>10</v>
      </c>
      <c r="B27" s="11" t="s">
        <v>47</v>
      </c>
      <c r="C27" s="24">
        <v>450</v>
      </c>
      <c r="D27" s="24">
        <v>603</v>
      </c>
      <c r="E27" s="25">
        <f t="shared" si="0"/>
        <v>134</v>
      </c>
      <c r="F27" s="25">
        <f>D27/359*100</f>
        <v>167.96657381615597</v>
      </c>
    </row>
    <row r="28" spans="1:9" ht="21.75" customHeight="1" x14ac:dyDescent="0.25">
      <c r="A28" s="7" t="s">
        <v>14</v>
      </c>
      <c r="B28" s="9" t="s">
        <v>13</v>
      </c>
      <c r="C28" s="24"/>
      <c r="D28" s="24"/>
      <c r="E28" s="25">
        <v>0</v>
      </c>
      <c r="F28" s="25"/>
    </row>
    <row r="29" spans="1:9" ht="33.75" customHeight="1" x14ac:dyDescent="0.25">
      <c r="A29" s="7" t="s">
        <v>7</v>
      </c>
      <c r="B29" s="9" t="s">
        <v>43</v>
      </c>
      <c r="C29" s="23">
        <f>C30+C31</f>
        <v>351696</v>
      </c>
      <c r="D29" s="23">
        <f t="shared" ref="D29" si="2">D30+D31</f>
        <v>313043</v>
      </c>
      <c r="E29" s="26">
        <f t="shared" si="0"/>
        <v>89.009542332014007</v>
      </c>
      <c r="F29" s="26">
        <f>D29/266601*100</f>
        <v>117.42003968477238</v>
      </c>
      <c r="I29" s="45"/>
    </row>
    <row r="30" spans="1:9" ht="21.75" customHeight="1" x14ac:dyDescent="0.25">
      <c r="A30" s="10">
        <v>1</v>
      </c>
      <c r="B30" s="11" t="s">
        <v>44</v>
      </c>
      <c r="C30" s="24">
        <v>120696</v>
      </c>
      <c r="D30" s="24">
        <v>108327</v>
      </c>
      <c r="E30" s="25">
        <f t="shared" si="0"/>
        <v>89.751938755219726</v>
      </c>
      <c r="F30" s="25">
        <f>D30/75339*100</f>
        <v>143.78608688726956</v>
      </c>
    </row>
    <row r="31" spans="1:9" ht="21.75" customHeight="1" x14ac:dyDescent="0.25">
      <c r="A31" s="10">
        <v>2</v>
      </c>
      <c r="B31" s="11" t="s">
        <v>45</v>
      </c>
      <c r="C31" s="24">
        <v>231000</v>
      </c>
      <c r="D31" s="24">
        <f>D11-4967</f>
        <v>204716</v>
      </c>
      <c r="E31" s="22">
        <f t="shared" si="0"/>
        <v>88.621645021645023</v>
      </c>
      <c r="F31" s="22">
        <f>D31/191262*100</f>
        <v>107.03432987211261</v>
      </c>
    </row>
    <row r="32" spans="1:9" x14ac:dyDescent="0.25">
      <c r="A32" s="2"/>
    </row>
  </sheetData>
  <mergeCells count="11">
    <mergeCell ref="A1:B1"/>
    <mergeCell ref="A2:B2"/>
    <mergeCell ref="E2:F2"/>
    <mergeCell ref="A7:A8"/>
    <mergeCell ref="B7:B8"/>
    <mergeCell ref="C7:C8"/>
    <mergeCell ref="D7:D8"/>
    <mergeCell ref="E7:F7"/>
    <mergeCell ref="A4:F4"/>
    <mergeCell ref="E6:F6"/>
    <mergeCell ref="A5:F5"/>
  </mergeCells>
  <pageMargins left="0.25" right="0.25" top="0.75" bottom="0.75" header="0.3" footer="0.3"/>
  <pageSetup paperSize="9" scale="9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7" workbookViewId="0">
      <selection activeCell="F12" sqref="F12"/>
    </sheetView>
  </sheetViews>
  <sheetFormatPr defaultRowHeight="15.75" x14ac:dyDescent="0.25"/>
  <cols>
    <col min="1" max="1" width="5.140625" style="1" customWidth="1"/>
    <col min="2" max="2" width="56.7109375" style="1" customWidth="1"/>
    <col min="3" max="3" width="11.5703125" style="1" customWidth="1"/>
    <col min="4" max="4" width="12" style="1" customWidth="1"/>
    <col min="5" max="5" width="11.5703125" style="1" customWidth="1"/>
    <col min="6" max="6" width="12.42578125" style="1" customWidth="1"/>
    <col min="7" max="16384" width="9.140625" style="1"/>
  </cols>
  <sheetData>
    <row r="1" spans="1:6" x14ac:dyDescent="0.25">
      <c r="A1" s="56" t="s">
        <v>24</v>
      </c>
      <c r="B1" s="56"/>
    </row>
    <row r="2" spans="1:6" x14ac:dyDescent="0.25">
      <c r="A2" s="57" t="s">
        <v>25</v>
      </c>
      <c r="B2" s="57"/>
      <c r="E2" s="58" t="s">
        <v>62</v>
      </c>
      <c r="F2" s="58"/>
    </row>
    <row r="4" spans="1:6" ht="21.75" customHeight="1" x14ac:dyDescent="0.25">
      <c r="A4" s="72" t="s">
        <v>95</v>
      </c>
      <c r="B4" s="72"/>
      <c r="C4" s="72"/>
      <c r="D4" s="72"/>
      <c r="E4" s="72"/>
      <c r="F4" s="72"/>
    </row>
    <row r="5" spans="1:6" s="43" customFormat="1" ht="21.75" customHeight="1" x14ac:dyDescent="0.25">
      <c r="A5" s="65" t="s">
        <v>94</v>
      </c>
      <c r="B5" s="65"/>
      <c r="C5" s="65"/>
      <c r="D5" s="65"/>
      <c r="E5" s="65"/>
      <c r="F5" s="65"/>
    </row>
    <row r="6" spans="1:6" ht="24" customHeight="1" x14ac:dyDescent="0.25">
      <c r="A6" s="20"/>
      <c r="E6" s="73" t="s">
        <v>1</v>
      </c>
      <c r="F6" s="73"/>
    </row>
    <row r="7" spans="1:6" ht="32.25" customHeight="1" x14ac:dyDescent="0.25">
      <c r="A7" s="59" t="s">
        <v>2</v>
      </c>
      <c r="B7" s="59" t="s">
        <v>3</v>
      </c>
      <c r="C7" s="59" t="s">
        <v>84</v>
      </c>
      <c r="D7" s="59" t="s">
        <v>90</v>
      </c>
      <c r="E7" s="59" t="s">
        <v>79</v>
      </c>
      <c r="F7" s="59"/>
    </row>
    <row r="8" spans="1:6" ht="31.5" customHeight="1" x14ac:dyDescent="0.25">
      <c r="A8" s="59"/>
      <c r="B8" s="59"/>
      <c r="C8" s="59"/>
      <c r="D8" s="59"/>
      <c r="E8" s="59" t="s">
        <v>4</v>
      </c>
      <c r="F8" s="74" t="s">
        <v>81</v>
      </c>
    </row>
    <row r="9" spans="1:6" ht="10.5" customHeight="1" x14ac:dyDescent="0.25">
      <c r="A9" s="59"/>
      <c r="B9" s="59"/>
      <c r="C9" s="59"/>
      <c r="D9" s="59"/>
      <c r="E9" s="59"/>
      <c r="F9" s="75"/>
    </row>
    <row r="10" spans="1:6" s="5" customFormat="1" ht="18.75" customHeight="1" x14ac:dyDescent="0.25">
      <c r="A10" s="27" t="s">
        <v>6</v>
      </c>
      <c r="B10" s="27" t="s">
        <v>7</v>
      </c>
      <c r="C10" s="27">
        <v>1</v>
      </c>
      <c r="D10" s="27">
        <v>2</v>
      </c>
      <c r="E10" s="27" t="s">
        <v>8</v>
      </c>
      <c r="F10" s="27">
        <v>4</v>
      </c>
    </row>
    <row r="11" spans="1:6" ht="20.25" customHeight="1" x14ac:dyDescent="0.25">
      <c r="A11" s="33"/>
      <c r="B11" s="9" t="s">
        <v>16</v>
      </c>
      <c r="C11" s="13">
        <f>C12+C39+C43</f>
        <v>665837</v>
      </c>
      <c r="D11" s="13">
        <f>D12+D39+D43</f>
        <v>486976</v>
      </c>
      <c r="E11" s="16">
        <f>D11/C11*100</f>
        <v>73.137419518590889</v>
      </c>
      <c r="F11" s="16">
        <f>D11/399596*100</f>
        <v>121.86708575661417</v>
      </c>
    </row>
    <row r="12" spans="1:6" s="17" customFormat="1" ht="20.25" customHeight="1" x14ac:dyDescent="0.25">
      <c r="A12" s="33" t="s">
        <v>6</v>
      </c>
      <c r="B12" s="9" t="s">
        <v>48</v>
      </c>
      <c r="C12" s="13">
        <f>C13+C20+C36+C37+C38</f>
        <v>497814</v>
      </c>
      <c r="D12" s="13">
        <f>D13+D20+D36+D37+D38</f>
        <v>402205</v>
      </c>
      <c r="E12" s="16">
        <f>D12/C12*100</f>
        <v>80.794232383982774</v>
      </c>
      <c r="F12" s="16">
        <f>D12/309945*100</f>
        <v>129.76657148848989</v>
      </c>
    </row>
    <row r="13" spans="1:6" ht="20.25" customHeight="1" x14ac:dyDescent="0.25">
      <c r="A13" s="33" t="s">
        <v>10</v>
      </c>
      <c r="B13" s="9" t="s">
        <v>19</v>
      </c>
      <c r="C13" s="13">
        <f>SUM(C14:C19)</f>
        <v>60910</v>
      </c>
      <c r="D13" s="13">
        <f>SUM(D14:D19)</f>
        <v>44162</v>
      </c>
      <c r="E13" s="16">
        <f>D13/C13*100</f>
        <v>72.503693974716796</v>
      </c>
      <c r="F13" s="16">
        <f>D13/49030*100</f>
        <v>90.071384866408323</v>
      </c>
    </row>
    <row r="14" spans="1:6" ht="20.25" customHeight="1" x14ac:dyDescent="0.25">
      <c r="A14" s="34">
        <v>1</v>
      </c>
      <c r="B14" s="11" t="s">
        <v>63</v>
      </c>
      <c r="C14" s="12">
        <v>25910</v>
      </c>
      <c r="D14" s="12">
        <v>25875</v>
      </c>
      <c r="E14" s="14">
        <f t="shared" ref="E14:E42" si="0">D14/C14*100</f>
        <v>99.864917020455422</v>
      </c>
      <c r="F14" s="14">
        <f>D14/22240*100</f>
        <v>116.34442446043165</v>
      </c>
    </row>
    <row r="15" spans="1:6" ht="20.25" customHeight="1" x14ac:dyDescent="0.25">
      <c r="A15" s="34">
        <v>2</v>
      </c>
      <c r="B15" s="11" t="s">
        <v>64</v>
      </c>
      <c r="C15" s="12">
        <v>32000</v>
      </c>
      <c r="D15" s="12">
        <v>15287</v>
      </c>
      <c r="E15" s="14">
        <f t="shared" si="0"/>
        <v>47.771875000000001</v>
      </c>
      <c r="F15" s="14">
        <f>D15/24616*100</f>
        <v>62.101884952876176</v>
      </c>
    </row>
    <row r="16" spans="1:6" ht="20.25" customHeight="1" x14ac:dyDescent="0.25">
      <c r="A16" s="34">
        <v>3</v>
      </c>
      <c r="B16" s="11" t="s">
        <v>65</v>
      </c>
      <c r="C16" s="12"/>
      <c r="D16" s="12">
        <v>0</v>
      </c>
      <c r="E16" s="14"/>
      <c r="F16" s="14">
        <f>D16/2187*100</f>
        <v>0</v>
      </c>
    </row>
    <row r="17" spans="1:8" ht="20.25" hidden="1" customHeight="1" x14ac:dyDescent="0.25">
      <c r="A17" s="34"/>
      <c r="B17" s="11"/>
      <c r="C17" s="12"/>
      <c r="D17" s="12"/>
      <c r="E17" s="14"/>
      <c r="F17" s="14"/>
    </row>
    <row r="18" spans="1:8" ht="20.25" customHeight="1" x14ac:dyDescent="0.25">
      <c r="A18" s="34">
        <v>4</v>
      </c>
      <c r="B18" s="11" t="s">
        <v>82</v>
      </c>
      <c r="C18" s="12">
        <v>3000</v>
      </c>
      <c r="D18" s="12">
        <v>3000</v>
      </c>
      <c r="E18" s="14">
        <f t="shared" si="0"/>
        <v>100</v>
      </c>
      <c r="F18" s="14">
        <f>D18/2000*100</f>
        <v>150</v>
      </c>
    </row>
    <row r="19" spans="1:8" ht="20.25" hidden="1" customHeight="1" x14ac:dyDescent="0.25">
      <c r="A19" s="34">
        <v>5</v>
      </c>
      <c r="B19" s="11" t="s">
        <v>88</v>
      </c>
      <c r="C19" s="12"/>
      <c r="D19" s="12"/>
      <c r="E19" s="14"/>
      <c r="F19" s="14"/>
    </row>
    <row r="20" spans="1:8" s="17" customFormat="1" ht="20.25" customHeight="1" x14ac:dyDescent="0.25">
      <c r="A20" s="33" t="s">
        <v>14</v>
      </c>
      <c r="B20" s="9" t="s">
        <v>20</v>
      </c>
      <c r="C20" s="13">
        <f>SUM(C22:C35)</f>
        <v>426955</v>
      </c>
      <c r="D20" s="13">
        <f t="shared" ref="D20" si="1">SUM(D22:D34)</f>
        <v>357620</v>
      </c>
      <c r="E20" s="16">
        <f>D20/C20*100</f>
        <v>83.760583668068065</v>
      </c>
      <c r="F20" s="16">
        <f>D20/260915*100</f>
        <v>137.06379472241917</v>
      </c>
    </row>
    <row r="21" spans="1:8" ht="20.25" customHeight="1" x14ac:dyDescent="0.25">
      <c r="A21" s="34"/>
      <c r="B21" s="21" t="s">
        <v>49</v>
      </c>
      <c r="C21" s="12"/>
      <c r="D21" s="12"/>
      <c r="E21" s="16"/>
      <c r="F21" s="14"/>
      <c r="H21" s="1">
        <v>399596</v>
      </c>
    </row>
    <row r="22" spans="1:8" ht="20.25" customHeight="1" x14ac:dyDescent="0.25">
      <c r="A22" s="34">
        <v>1</v>
      </c>
      <c r="B22" s="11" t="s">
        <v>50</v>
      </c>
      <c r="C22" s="12">
        <v>225970</v>
      </c>
      <c r="D22" s="12">
        <v>170988</v>
      </c>
      <c r="E22" s="14">
        <f t="shared" si="0"/>
        <v>75.668451564366961</v>
      </c>
      <c r="F22" s="14">
        <f>D22/137072*100</f>
        <v>124.74320065367107</v>
      </c>
    </row>
    <row r="23" spans="1:8" ht="20.25" customHeight="1" x14ac:dyDescent="0.25">
      <c r="A23" s="34">
        <v>2</v>
      </c>
      <c r="B23" s="11" t="s">
        <v>51</v>
      </c>
      <c r="C23" s="12">
        <v>117</v>
      </c>
      <c r="D23" s="12">
        <v>0</v>
      </c>
      <c r="E23" s="14">
        <f t="shared" si="0"/>
        <v>0</v>
      </c>
      <c r="F23" s="14"/>
    </row>
    <row r="24" spans="1:8" ht="20.25" customHeight="1" x14ac:dyDescent="0.25">
      <c r="A24" s="34">
        <v>3</v>
      </c>
      <c r="B24" s="11" t="s">
        <v>52</v>
      </c>
      <c r="C24" s="12">
        <v>2900</v>
      </c>
      <c r="D24" s="12">
        <v>2289</v>
      </c>
      <c r="E24" s="14">
        <f t="shared" si="0"/>
        <v>78.931034482758619</v>
      </c>
      <c r="F24" s="55">
        <f>D24/1758*100</f>
        <v>130.20477815699658</v>
      </c>
    </row>
    <row r="25" spans="1:8" ht="20.25" customHeight="1" x14ac:dyDescent="0.25">
      <c r="A25" s="34">
        <v>4</v>
      </c>
      <c r="B25" s="11" t="s">
        <v>53</v>
      </c>
      <c r="C25" s="66">
        <f>6216+196</f>
        <v>6412</v>
      </c>
      <c r="D25" s="66">
        <f>4066+184+74</f>
        <v>4324</v>
      </c>
      <c r="E25" s="69">
        <f t="shared" si="0"/>
        <v>67.436057392389273</v>
      </c>
      <c r="F25" s="69">
        <f>D25/4330*100</f>
        <v>99.861431870669747</v>
      </c>
    </row>
    <row r="26" spans="1:8" ht="20.25" customHeight="1" x14ac:dyDescent="0.25">
      <c r="A26" s="34">
        <v>5</v>
      </c>
      <c r="B26" s="11" t="s">
        <v>54</v>
      </c>
      <c r="C26" s="67"/>
      <c r="D26" s="67"/>
      <c r="E26" s="70"/>
      <c r="F26" s="70"/>
    </row>
    <row r="27" spans="1:8" ht="20.25" customHeight="1" x14ac:dyDescent="0.25">
      <c r="A27" s="34">
        <v>6</v>
      </c>
      <c r="B27" s="11" t="s">
        <v>55</v>
      </c>
      <c r="C27" s="68"/>
      <c r="D27" s="68"/>
      <c r="E27" s="71"/>
      <c r="F27" s="71"/>
    </row>
    <row r="28" spans="1:8" ht="20.25" customHeight="1" x14ac:dyDescent="0.25">
      <c r="A28" s="34">
        <v>7</v>
      </c>
      <c r="B28" s="11" t="s">
        <v>56</v>
      </c>
      <c r="C28" s="12">
        <v>4650</v>
      </c>
      <c r="D28" s="12">
        <v>1768</v>
      </c>
      <c r="E28" s="14">
        <f t="shared" si="0"/>
        <v>38.021505376344081</v>
      </c>
      <c r="F28" s="14">
        <f>D28/1762*100</f>
        <v>100.34052213393872</v>
      </c>
    </row>
    <row r="29" spans="1:8" ht="20.25" customHeight="1" x14ac:dyDescent="0.25">
      <c r="A29" s="34">
        <v>8</v>
      </c>
      <c r="B29" s="11" t="s">
        <v>57</v>
      </c>
      <c r="C29" s="12">
        <v>25147</v>
      </c>
      <c r="D29" s="12">
        <v>49338</v>
      </c>
      <c r="E29" s="14">
        <f t="shared" si="0"/>
        <v>196.1983536803595</v>
      </c>
      <c r="F29" s="14">
        <f>D29/10561*100</f>
        <v>467.17166934949341</v>
      </c>
    </row>
    <row r="30" spans="1:8" ht="20.25" customHeight="1" x14ac:dyDescent="0.25">
      <c r="A30" s="34">
        <v>9</v>
      </c>
      <c r="B30" s="11" t="s">
        <v>58</v>
      </c>
      <c r="C30" s="12">
        <v>92250</v>
      </c>
      <c r="D30" s="12">
        <v>67076</v>
      </c>
      <c r="E30" s="14">
        <f t="shared" si="0"/>
        <v>72.711111111111109</v>
      </c>
      <c r="F30" s="14">
        <f>D30/55893*100</f>
        <v>120.00787218435225</v>
      </c>
    </row>
    <row r="31" spans="1:8" ht="20.25" customHeight="1" x14ac:dyDescent="0.25">
      <c r="A31" s="34">
        <v>10</v>
      </c>
      <c r="B31" s="11" t="s">
        <v>59</v>
      </c>
      <c r="C31" s="12">
        <v>29701</v>
      </c>
      <c r="D31" s="12">
        <v>29796</v>
      </c>
      <c r="E31" s="14">
        <f t="shared" si="0"/>
        <v>100.31985455035183</v>
      </c>
      <c r="F31" s="14">
        <f>D31/20995*100</f>
        <v>141.91950464396285</v>
      </c>
    </row>
    <row r="32" spans="1:8" ht="20.25" customHeight="1" x14ac:dyDescent="0.25">
      <c r="A32" s="34">
        <v>11</v>
      </c>
      <c r="B32" s="11" t="s">
        <v>68</v>
      </c>
      <c r="C32" s="12">
        <v>35309</v>
      </c>
      <c r="D32" s="12">
        <v>28069</v>
      </c>
      <c r="E32" s="14">
        <f t="shared" si="0"/>
        <v>79.495312809765224</v>
      </c>
      <c r="F32" s="14">
        <f>D32/25546*100</f>
        <v>109.87630157363188</v>
      </c>
    </row>
    <row r="33" spans="1:6" ht="20.25" customHeight="1" x14ac:dyDescent="0.25">
      <c r="A33" s="34">
        <v>12</v>
      </c>
      <c r="B33" s="11" t="s">
        <v>69</v>
      </c>
      <c r="C33" s="12">
        <v>1080</v>
      </c>
      <c r="D33" s="12">
        <v>872</v>
      </c>
      <c r="E33" s="14">
        <f t="shared" si="0"/>
        <v>80.740740740740748</v>
      </c>
      <c r="F33" s="14">
        <f>D33/425*100</f>
        <v>205.1764705882353</v>
      </c>
    </row>
    <row r="34" spans="1:6" ht="20.25" customHeight="1" x14ac:dyDescent="0.25">
      <c r="A34" s="34">
        <v>13</v>
      </c>
      <c r="B34" s="11" t="s">
        <v>66</v>
      </c>
      <c r="C34" s="12">
        <v>3419</v>
      </c>
      <c r="D34" s="12">
        <v>3100</v>
      </c>
      <c r="E34" s="14">
        <f t="shared" si="0"/>
        <v>90.66978648727698</v>
      </c>
      <c r="F34" s="14">
        <f>D34/2573*100</f>
        <v>120.48192771084338</v>
      </c>
    </row>
    <row r="35" spans="1:6" ht="36.75" hidden="1" customHeight="1" x14ac:dyDescent="0.25">
      <c r="A35" s="10">
        <v>14</v>
      </c>
      <c r="B35" s="51" t="s">
        <v>73</v>
      </c>
      <c r="C35" s="52"/>
      <c r="D35" s="12"/>
      <c r="E35" s="14"/>
      <c r="F35" s="14"/>
    </row>
    <row r="36" spans="1:6" ht="20.25" customHeight="1" x14ac:dyDescent="0.25">
      <c r="A36" s="33" t="s">
        <v>22</v>
      </c>
      <c r="B36" s="9" t="s">
        <v>21</v>
      </c>
      <c r="C36" s="13">
        <v>9949</v>
      </c>
      <c r="D36" s="13">
        <v>423</v>
      </c>
      <c r="E36" s="16">
        <f t="shared" si="0"/>
        <v>4.2516835862900795</v>
      </c>
      <c r="F36" s="16"/>
    </row>
    <row r="37" spans="1:6" ht="20.25" customHeight="1" x14ac:dyDescent="0.25">
      <c r="A37" s="35" t="s">
        <v>67</v>
      </c>
      <c r="B37" s="28" t="s">
        <v>80</v>
      </c>
      <c r="C37" s="50"/>
      <c r="D37" s="50"/>
      <c r="E37" s="16"/>
      <c r="F37" s="16">
        <f>D37/100</f>
        <v>0</v>
      </c>
    </row>
    <row r="38" spans="1:6" s="31" customFormat="1" ht="29.25" hidden="1" customHeight="1" x14ac:dyDescent="0.25">
      <c r="A38" s="32"/>
      <c r="B38" s="36"/>
      <c r="C38" s="30"/>
      <c r="D38" s="29"/>
      <c r="E38" s="16"/>
      <c r="F38" s="14"/>
    </row>
    <row r="39" spans="1:6" s="17" customFormat="1" ht="19.5" customHeight="1" x14ac:dyDescent="0.25">
      <c r="A39" s="33" t="s">
        <v>7</v>
      </c>
      <c r="B39" s="9" t="s">
        <v>71</v>
      </c>
      <c r="C39" s="13">
        <f>SUM(C40:C42)</f>
        <v>168023</v>
      </c>
      <c r="D39" s="13">
        <f>SUM(D40:D42)</f>
        <v>84771</v>
      </c>
      <c r="E39" s="16">
        <f t="shared" si="0"/>
        <v>50.452021449444416</v>
      </c>
      <c r="F39" s="16">
        <f>D39/89651*100</f>
        <v>94.55666975270772</v>
      </c>
    </row>
    <row r="40" spans="1:6" ht="18" customHeight="1" x14ac:dyDescent="0.25">
      <c r="A40" s="34">
        <v>1</v>
      </c>
      <c r="B40" s="11" t="s">
        <v>60</v>
      </c>
      <c r="C40" s="12"/>
      <c r="D40" s="13">
        <v>0</v>
      </c>
      <c r="E40" s="14"/>
      <c r="F40" s="14">
        <f t="shared" ref="F40" si="2">D40/1201*100</f>
        <v>0</v>
      </c>
    </row>
    <row r="41" spans="1:6" ht="18" customHeight="1" x14ac:dyDescent="0.25">
      <c r="A41" s="34">
        <v>2</v>
      </c>
      <c r="B41" s="11" t="s">
        <v>86</v>
      </c>
      <c r="C41" s="12">
        <v>148205</v>
      </c>
      <c r="D41" s="12">
        <v>72108</v>
      </c>
      <c r="E41" s="14">
        <f t="shared" si="0"/>
        <v>48.654228939644412</v>
      </c>
      <c r="F41" s="14">
        <f>D41/76261*100</f>
        <v>94.554228242483049</v>
      </c>
    </row>
    <row r="42" spans="1:6" ht="18" customHeight="1" x14ac:dyDescent="0.25">
      <c r="A42" s="34">
        <v>3</v>
      </c>
      <c r="B42" s="11" t="s">
        <v>61</v>
      </c>
      <c r="C42" s="12">
        <f>19818</f>
        <v>19818</v>
      </c>
      <c r="D42" s="12">
        <v>12663</v>
      </c>
      <c r="E42" s="14">
        <f t="shared" si="0"/>
        <v>63.896457765667577</v>
      </c>
      <c r="F42" s="14">
        <f>D42/13390*100</f>
        <v>94.570575056011947</v>
      </c>
    </row>
    <row r="43" spans="1:6" ht="20.25" customHeight="1" x14ac:dyDescent="0.25">
      <c r="A43" s="33" t="s">
        <v>70</v>
      </c>
      <c r="B43" s="9" t="s">
        <v>72</v>
      </c>
      <c r="C43" s="13"/>
      <c r="D43" s="13"/>
      <c r="E43" s="16"/>
      <c r="F43" s="16">
        <f>D43/2342*100</f>
        <v>0</v>
      </c>
    </row>
  </sheetData>
  <mergeCells count="17">
    <mergeCell ref="A1:B1"/>
    <mergeCell ref="A2:B2"/>
    <mergeCell ref="E2:F2"/>
    <mergeCell ref="A5:F5"/>
    <mergeCell ref="A7:A9"/>
    <mergeCell ref="B7:B9"/>
    <mergeCell ref="C7:C9"/>
    <mergeCell ref="D7:D9"/>
    <mergeCell ref="E7:F7"/>
    <mergeCell ref="E8:E9"/>
    <mergeCell ref="F8:F9"/>
    <mergeCell ref="C25:C27"/>
    <mergeCell ref="D25:D27"/>
    <mergeCell ref="E25:E27"/>
    <mergeCell ref="F25:F27"/>
    <mergeCell ref="A4:F4"/>
    <mergeCell ref="E6:F6"/>
  </mergeCells>
  <pageMargins left="0.25" right="0.25" top="0.75" bottom="0.75" header="0.3" footer="0.3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 93</vt:lpstr>
      <vt:lpstr>B 94</vt:lpstr>
      <vt:lpstr>B 95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2024-10-04T04:30:05Z</cp:lastPrinted>
  <dcterms:created xsi:type="dcterms:W3CDTF">2018-05-20T15:07:10Z</dcterms:created>
  <dcterms:modified xsi:type="dcterms:W3CDTF">2024-10-04T07:02:01Z</dcterms:modified>
</cp:coreProperties>
</file>