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630"/>
  </bookViews>
  <sheets>
    <sheet name="B 93" sheetId="1" r:id="rId1"/>
    <sheet name="B 94" sheetId="2" r:id="rId2"/>
    <sheet name="B 95" sheetId="3" r:id="rId3"/>
  </sheets>
  <calcPr calcId="144525"/>
</workbook>
</file>

<file path=xl/calcChain.xml><?xml version="1.0" encoding="utf-8"?>
<calcChain xmlns="http://schemas.openxmlformats.org/spreadsheetml/2006/main">
  <c r="H25" i="1" l="1"/>
  <c r="L10" i="1"/>
  <c r="L11" i="1"/>
  <c r="K10" i="1"/>
  <c r="J12" i="1"/>
  <c r="J10" i="1"/>
  <c r="J8" i="1"/>
  <c r="H11" i="1"/>
  <c r="H10" i="1" l="1"/>
  <c r="F42" i="3"/>
  <c r="F41" i="3"/>
  <c r="F39" i="3" l="1"/>
  <c r="F34" i="3"/>
  <c r="F33" i="3"/>
  <c r="F32" i="3"/>
  <c r="F31" i="3"/>
  <c r="F30" i="3"/>
  <c r="F29" i="3"/>
  <c r="F28" i="3"/>
  <c r="F25" i="3"/>
  <c r="F24" i="3"/>
  <c r="F22" i="3"/>
  <c r="F20" i="3"/>
  <c r="F18" i="3"/>
  <c r="F15" i="3"/>
  <c r="F14" i="3"/>
  <c r="F13" i="3"/>
  <c r="F12" i="3"/>
  <c r="F11" i="3"/>
  <c r="D25" i="3" l="1"/>
  <c r="F10" i="2" l="1"/>
  <c r="F11" i="2"/>
  <c r="F14" i="2"/>
  <c r="F15" i="2"/>
  <c r="F17" i="2"/>
  <c r="F18" i="2"/>
  <c r="F19" i="2"/>
  <c r="F21" i="2"/>
  <c r="F22" i="2"/>
  <c r="F23" i="2"/>
  <c r="F26" i="2"/>
  <c r="F27" i="2"/>
  <c r="F31" i="2"/>
  <c r="F30" i="2"/>
  <c r="F29" i="2"/>
  <c r="F19" i="1"/>
  <c r="F18" i="1"/>
  <c r="F11" i="1"/>
  <c r="F10" i="1"/>
  <c r="D10" i="1"/>
  <c r="E41" i="3"/>
  <c r="F25" i="1"/>
  <c r="E21" i="1"/>
  <c r="F21" i="1"/>
  <c r="F20" i="1"/>
  <c r="F15" i="1"/>
  <c r="F14" i="1"/>
  <c r="F12" i="1"/>
  <c r="D12" i="1"/>
  <c r="C12" i="1"/>
  <c r="I14" i="1" l="1"/>
  <c r="I13" i="1"/>
  <c r="I12" i="1"/>
  <c r="H19" i="3" l="1"/>
  <c r="H15" i="3"/>
  <c r="H16" i="3" l="1"/>
  <c r="H14" i="3"/>
  <c r="H13" i="3"/>
  <c r="C10" i="1"/>
  <c r="D11" i="1"/>
  <c r="C11" i="1"/>
  <c r="C42" i="3" l="1"/>
  <c r="C25" i="3"/>
  <c r="D13" i="3" l="1"/>
  <c r="C13" i="3"/>
  <c r="E13" i="3" l="1"/>
  <c r="F37" i="3"/>
  <c r="F16" i="3"/>
  <c r="F26" i="1" l="1"/>
  <c r="F24" i="1"/>
  <c r="C20" i="3" l="1"/>
  <c r="E18" i="3" l="1"/>
  <c r="F43" i="3" l="1"/>
  <c r="E23" i="1" l="1"/>
  <c r="E36" i="3"/>
  <c r="D39" i="3"/>
  <c r="C39" i="3"/>
  <c r="E39" i="3" l="1"/>
  <c r="F40" i="3" l="1"/>
  <c r="E12" i="1"/>
  <c r="I26" i="1" l="1"/>
  <c r="E25" i="1" l="1"/>
  <c r="C19" i="1" l="1"/>
  <c r="D19" i="1"/>
  <c r="E20" i="1"/>
  <c r="E33" i="3"/>
  <c r="E32" i="3"/>
  <c r="D20" i="3"/>
  <c r="H20" i="3"/>
  <c r="E34" i="3"/>
  <c r="E15" i="3"/>
  <c r="E22" i="3"/>
  <c r="E23" i="3"/>
  <c r="E24" i="3"/>
  <c r="E25" i="3"/>
  <c r="E28" i="3"/>
  <c r="E29" i="3"/>
  <c r="E30" i="3"/>
  <c r="E31" i="3"/>
  <c r="E42" i="3"/>
  <c r="D19" i="2"/>
  <c r="C19" i="2"/>
  <c r="E27" i="2"/>
  <c r="D29" i="2"/>
  <c r="C29" i="2"/>
  <c r="E22" i="2"/>
  <c r="E15" i="2"/>
  <c r="E17" i="2"/>
  <c r="E18" i="2"/>
  <c r="E21" i="2"/>
  <c r="E23" i="2"/>
  <c r="E26" i="2"/>
  <c r="E30" i="2"/>
  <c r="E31" i="2"/>
  <c r="E14" i="2"/>
  <c r="E15" i="1"/>
  <c r="E14" i="1"/>
  <c r="E29" i="2" l="1"/>
  <c r="D18" i="1"/>
  <c r="D12" i="3"/>
  <c r="D11" i="2"/>
  <c r="C11" i="2"/>
  <c r="C10" i="2" s="1"/>
  <c r="E19" i="2"/>
  <c r="C18" i="1"/>
  <c r="E19" i="1"/>
  <c r="E11" i="1"/>
  <c r="C12" i="3"/>
  <c r="C11" i="3" s="1"/>
  <c r="H11" i="3" s="1"/>
  <c r="E20" i="3"/>
  <c r="D10" i="2" l="1"/>
  <c r="D11" i="3"/>
  <c r="E11" i="2"/>
  <c r="E10" i="1"/>
  <c r="E12" i="3"/>
  <c r="E18" i="1"/>
  <c r="E14" i="3"/>
  <c r="E10" i="2" l="1"/>
  <c r="E11" i="3"/>
</calcChain>
</file>

<file path=xl/sharedStrings.xml><?xml version="1.0" encoding="utf-8"?>
<sst xmlns="http://schemas.openxmlformats.org/spreadsheetml/2006/main" count="143" uniqueCount="98">
  <si>
    <t>Biểu số 93/CK-NSNN</t>
  </si>
  <si>
    <t>Đơn vị: Triệu đồng</t>
  </si>
  <si>
    <t>STT</t>
  </si>
  <si>
    <t>NỘI DUNG</t>
  </si>
  <si>
    <t>Dự toán năm</t>
  </si>
  <si>
    <t>Cùng kỳ năm trước</t>
  </si>
  <si>
    <t>A</t>
  </si>
  <si>
    <t>B</t>
  </si>
  <si>
    <t>3=2/1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</si>
  <si>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</si>
  <si>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</si>
  <si>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</si>
  <si>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</si>
  <si>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</si>
  <si>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</si>
  <si>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</si>
  <si>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TỔNG CHI NGÂN SÁCH HUYỆN</t>
  </si>
  <si>
    <t> I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</si>
  <si>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</si>
  <si>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</si>
  <si>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</si>
  <si>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</si>
  <si>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</si>
  <si>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NS cấp tỉnh</t>
  </si>
  <si>
    <t>ỦY BAN NHÂN DÂN</t>
  </si>
  <si>
    <t>HUYỆN TÂN CHÂU</t>
  </si>
  <si>
    <t>So với cùng kỳ</t>
  </si>
  <si>
    <t>Thu bổ sung cân đối từ NS tỉnh</t>
  </si>
  <si>
    <t>Thu từ bổ sung có mục tiêu NS tỉnh</t>
  </si>
  <si>
    <t>Thu từ khu vực doanh nghiệp nhà nước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</si>
  <si>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</si>
  <si>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</si>
  <si>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</si>
  <si>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</si>
  <si>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</si>
  <si>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Thu phí, lệ phí</t>
  </si>
  <si>
    <t>Các khoản thu về nhà, đất</t>
  </si>
  <si>
    <t>-</t>
  </si>
  <si>
    <t>Thuế sử dụng đất nông nghiệp</t>
  </si>
  <si>
    <t>Thuế sử dụng đất phi nông nghiệp</t>
  </si>
  <si>
    <t>Tiền cho thuê đất, thuê mặt nước</t>
  </si>
  <si>
    <t>Tiền cho thuê và tiền bán nhà ở thuộc sở hữu nhà nước</t>
  </si>
  <si>
    <t>Thu từ hoạt động xổ số kiến thiết</t>
  </si>
  <si>
    <t>Thu khác ngân sách</t>
  </si>
  <si>
    <t xml:space="preserve">THU NGÂN SÁCH HUYỆN ĐƯỢC HƯỞNG THEO PHÂN CẤP </t>
  </si>
  <si>
    <t>Từ các khoản thu phân chia</t>
  </si>
  <si>
    <t>Các khoản thu ngân sách huyện được hưởng 100%</t>
  </si>
  <si>
    <t>Thu giao quyền sử dụng đất</t>
  </si>
  <si>
    <t>Các khoản thu khác tại xã</t>
  </si>
  <si>
    <t>CHI CÂN ĐỐI NGÂN SÁCH HUYỆN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</si>
  <si>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</si>
  <si>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</si>
  <si>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</si>
  <si>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</si>
  <si>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</si>
  <si>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</si>
  <si>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</si>
  <si>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</si>
  <si>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hoạt động kinh tế</t>
  </si>
  <si>
    <t>Chi hoạt động của cơ quan quản lý hành chính, đảng, đoàn thể</t>
  </si>
  <si>
    <t>Chi bảo đảm xã hội</t>
  </si>
  <si>
    <t>Chương trình mục tiêu quốc gia</t>
  </si>
  <si>
    <t>Cho các nhiệm vụ, chính sách kinh phí thường xuyên</t>
  </si>
  <si>
    <t>Biểu số 95/CK-NSNN</t>
  </si>
  <si>
    <t>Chi XDCB tập trung</t>
  </si>
  <si>
    <t>Chi từ nguồn thu tiền SDĐ</t>
  </si>
  <si>
    <t>Chi đầu tư tạo quỹ đất phát triển</t>
  </si>
  <si>
    <t>Chi khác</t>
  </si>
  <si>
    <t>IV</t>
  </si>
  <si>
    <t>Chi an ninh quốc phòng</t>
  </si>
  <si>
    <t>Chi khen thưởng</t>
  </si>
  <si>
    <t>C</t>
  </si>
  <si>
    <t>CHI TỪ NGUỒN BỔ SUNG CÓ MỤC TIÊU</t>
  </si>
  <si>
    <t>CÁC KHOẢN THU ĐỂ LẠI CHI QUẢN LÝ QUA NSNN</t>
  </si>
  <si>
    <t>Dự toán chi chưa phân bổ (từ nguồn tăng thu so chỉ tiêu pháp lệnh)</t>
  </si>
  <si>
    <t>Biểu 94/CK-NSNN</t>
  </si>
  <si>
    <t>Thu nội địa được hưởng theo phân cấp</t>
  </si>
  <si>
    <t>Dự phòng</t>
  </si>
  <si>
    <t>Chi các khoản thu để lại quản lý qua NSNN</t>
  </si>
  <si>
    <t>TỔNG THU NSNN TRÊN ĐỊA BÀN (I+II)</t>
  </si>
  <si>
    <t>So sánh thực hiện với (%)</t>
  </si>
  <si>
    <t>Chi tạo nguồn CCTL</t>
  </si>
  <si>
    <t>Cùng kỳ năm trước</t>
  </si>
  <si>
    <t>Chi ủy thác qua NHCSXH</t>
  </si>
  <si>
    <t>Dự toán năm 
2024</t>
  </si>
  <si>
    <t>Dự toán năm 2024</t>
  </si>
  <si>
    <t>Thu nguồn CCTL</t>
  </si>
  <si>
    <t>Cho các chương trình dự án vốn đầu tư</t>
  </si>
  <si>
    <t>V</t>
  </si>
  <si>
    <t>CÂN ĐỐI NGÂN SÁCH HUYỆN QUÝ II NĂM 2024</t>
  </si>
  <si>
    <t>(Kèm theo Báo cáo số:         /BC-UBND ngày        tháng 07 năm 2024 của UBND huyện Tân Châu)</t>
  </si>
  <si>
    <t>(Kèm theo Báo cáo số:          /BC-UBND ngày        tháng 07 năm 2024 của UBND huyện Tân Châu)</t>
  </si>
  <si>
    <t xml:space="preserve"> THỰC HIỆN THU NGÂN SÁCH NHÀ NƯỚC QUÝ II NĂM 2024</t>
  </si>
  <si>
    <t>Thực hiện quý II năm 2024</t>
  </si>
  <si>
    <t>THỰC HIỆN CHI NGÂN SÁCH HUYỆN QUÝ II NĂM 2024</t>
  </si>
  <si>
    <t>(Kèm theo Báo cáo số:          /BC-UBND ngày        tháng  07  năm 2024 của UBND huyện Tân Châu)</t>
  </si>
  <si>
    <t>Thực hiện quý II/2024</t>
  </si>
  <si>
    <t>Chi từ nguồn tiết kiệm thêm 10% chi TX dự toán 2024 so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</si>
</sst>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6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165" fontId="14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15" fillId="0" borderId="0" xfId="0" applyFont="1"/>
    <xf numFmtId="165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7" fillId="0" borderId="1" xfId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5" fontId="7" fillId="0" borderId="3" xfId="1" applyNumberFormat="1" applyFont="1" applyBorder="1" applyAlignment="1">
      <alignment vertical="center" wrapText="1"/>
    </xf>
    <xf numFmtId="165" fontId="15" fillId="0" borderId="1" xfId="1" applyNumberFormat="1" applyFont="1" applyBorder="1"/>
    <xf numFmtId="0" fontId="15" fillId="0" borderId="0" xfId="0" applyFont="1" applyBorder="1"/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164" fontId="15" fillId="0" borderId="1" xfId="0" applyNumberFormat="1" applyFont="1" applyBorder="1"/>
    <xf numFmtId="164" fontId="3" fillId="0" borderId="0" xfId="0" applyNumberFormat="1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165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vertical="center" wrapText="1"/>
    </xf>
    <xf numFmtId="165" fontId="3" fillId="0" borderId="0" xfId="0" applyNumberFormat="1" applyFont="1"/>
    <xf numFmtId="165" fontId="15" fillId="0" borderId="0" xfId="0" applyNumberFormat="1" applyFont="1"/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 wrapText="1"/>
    </xf>
    <xf numFmtId="9" fontId="3" fillId="0" borderId="0" xfId="2" applyFont="1"/>
    <xf numFmtId="165" fontId="3" fillId="0" borderId="0" xfId="1" applyNumberFormat="1" applyFont="1"/>
    <xf numFmtId="10" fontId="3" fillId="0" borderId="0" xfId="2" applyNumberFormat="1" applyFont="1"/>
    <xf numFmtId="10" fontId="15" fillId="0" borderId="0" xfId="2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3" fillId="0" borderId="0" xfId="1" applyFont="1"/>
    <xf numFmtId="43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191732</xdr:rowOff>
    </xdr:from>
    <xdr:to>
      <xdr:col>1</xdr:col>
      <xdr:colOff>781050</xdr:colOff>
      <xdr:row>1</xdr:row>
      <xdr:rowOff>191732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6200" y="440210"/>
          <a:ext cx="1143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190500</xdr:rowOff>
    </xdr:from>
    <xdr:to>
      <xdr:col>1</xdr:col>
      <xdr:colOff>772353</xdr:colOff>
      <xdr:row>1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" y="390525"/>
          <a:ext cx="114382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</xdr:rowOff>
    </xdr:from>
    <xdr:to>
      <xdr:col>1</xdr:col>
      <xdr:colOff>839028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3350" y="409575"/>
          <a:ext cx="104857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1" zoomScaleNormal="100" workbookViewId="0">
      <selection activeCell="H26" sqref="H26"/>
    </sheetView>
  </sheetViews>
  <sheetFormatPr defaultRowHeight="15.75" x14ac:dyDescent="0.25"/>
  <cols>
    <col min="1" max="1" width="6.5703125" style="1" customWidth="1"/>
    <col min="2" max="2" width="48" style="1" customWidth="1"/>
    <col min="3" max="3" width="11.85546875" style="1" customWidth="1"/>
    <col min="4" max="4" width="10" style="1" customWidth="1"/>
    <col min="5" max="5" width="12" style="1" customWidth="1"/>
    <col min="6" max="6" width="11.7109375" style="1" customWidth="1"/>
    <col min="7" max="8" width="9.140625" style="1"/>
    <col min="9" max="9" width="11.5703125" style="1" bestFit="1" customWidth="1"/>
    <col min="10" max="11" width="12.7109375" style="1" bestFit="1" customWidth="1"/>
    <col min="12" max="16384" width="9.140625" style="1"/>
  </cols>
  <sheetData>
    <row r="1" spans="1:12" ht="19.5" customHeight="1" x14ac:dyDescent="0.25">
      <c r="A1" s="62" t="s">
        <v>24</v>
      </c>
      <c r="B1" s="62"/>
    </row>
    <row r="2" spans="1:12" x14ac:dyDescent="0.25">
      <c r="A2" s="63" t="s">
        <v>25</v>
      </c>
      <c r="B2" s="63"/>
      <c r="E2" s="64" t="s">
        <v>0</v>
      </c>
      <c r="F2" s="64"/>
    </row>
    <row r="3" spans="1:12" x14ac:dyDescent="0.25">
      <c r="A3" s="46"/>
      <c r="B3" s="46"/>
      <c r="E3" s="47"/>
      <c r="F3" s="47"/>
    </row>
    <row r="4" spans="1:12" ht="21.75" customHeight="1" x14ac:dyDescent="0.25">
      <c r="A4" s="66" t="s">
        <v>89</v>
      </c>
      <c r="B4" s="66"/>
      <c r="C4" s="66"/>
      <c r="D4" s="66"/>
      <c r="E4" s="66"/>
      <c r="F4" s="66"/>
      <c r="G4" s="3"/>
      <c r="H4" s="3"/>
      <c r="I4" s="3"/>
      <c r="J4" s="3"/>
    </row>
    <row r="5" spans="1:12" ht="21.75" customHeight="1" x14ac:dyDescent="0.25">
      <c r="A5" s="68" t="s">
        <v>90</v>
      </c>
      <c r="B5" s="69"/>
      <c r="C5" s="69"/>
      <c r="D5" s="69"/>
      <c r="E5" s="69"/>
      <c r="F5" s="69"/>
      <c r="G5" s="3"/>
      <c r="H5" s="3"/>
      <c r="I5" s="3"/>
      <c r="J5" s="3"/>
    </row>
    <row r="6" spans="1:12" ht="20.25" customHeight="1" x14ac:dyDescent="0.25">
      <c r="A6" s="4"/>
      <c r="B6" s="4"/>
      <c r="C6" s="4"/>
      <c r="D6" s="4"/>
      <c r="E6" s="67" t="s">
        <v>1</v>
      </c>
      <c r="F6" s="67"/>
      <c r="G6" s="4"/>
      <c r="H6" s="4"/>
      <c r="I6" s="4"/>
      <c r="J6" s="4"/>
    </row>
    <row r="7" spans="1:12" ht="32.25" customHeight="1" x14ac:dyDescent="0.25">
      <c r="A7" s="65" t="s">
        <v>2</v>
      </c>
      <c r="B7" s="65" t="s">
        <v>3</v>
      </c>
      <c r="C7" s="65" t="s">
        <v>84</v>
      </c>
      <c r="D7" s="65" t="s">
        <v>93</v>
      </c>
      <c r="E7" s="65" t="s">
        <v>80</v>
      </c>
      <c r="F7" s="65"/>
    </row>
    <row r="8" spans="1:12" ht="54.75" customHeight="1" x14ac:dyDescent="0.25">
      <c r="A8" s="65"/>
      <c r="B8" s="65"/>
      <c r="C8" s="65"/>
      <c r="D8" s="65"/>
      <c r="E8" s="7" t="s">
        <v>4</v>
      </c>
      <c r="F8" s="7" t="s">
        <v>26</v>
      </c>
      <c r="J8" s="82">
        <f>(75243+113577)/(120696+189973)</f>
        <v>0.60778513466100581</v>
      </c>
    </row>
    <row r="9" spans="1:12" s="6" customFormat="1" ht="12.75" x14ac:dyDescent="0.2">
      <c r="A9" s="8" t="s">
        <v>6</v>
      </c>
      <c r="B9" s="8" t="s">
        <v>7</v>
      </c>
      <c r="C9" s="8">
        <v>1</v>
      </c>
      <c r="D9" s="8">
        <v>2</v>
      </c>
      <c r="E9" s="8" t="s">
        <v>8</v>
      </c>
      <c r="F9" s="8">
        <v>4</v>
      </c>
    </row>
    <row r="10" spans="1:12" ht="21.75" customHeight="1" x14ac:dyDescent="0.25">
      <c r="A10" s="7" t="s">
        <v>6</v>
      </c>
      <c r="B10" s="38" t="s">
        <v>9</v>
      </c>
      <c r="C10" s="18">
        <f>C11+C17+C15+C16+C14</f>
        <v>669837</v>
      </c>
      <c r="D10" s="18">
        <f>D11+D17+D15+D16+D14</f>
        <v>968328</v>
      </c>
      <c r="E10" s="19">
        <f>D10/C10*100</f>
        <v>144.56173666130715</v>
      </c>
      <c r="F10" s="19">
        <f>D10/343112*100</f>
        <v>282.21921704866048</v>
      </c>
      <c r="H10" s="45">
        <f>F10-E10</f>
        <v>137.65748038735333</v>
      </c>
      <c r="I10" s="59">
        <v>31922</v>
      </c>
      <c r="J10" s="59">
        <f>75243+113577</f>
        <v>188820</v>
      </c>
      <c r="K10" s="59">
        <f>120696+189973</f>
        <v>310669</v>
      </c>
      <c r="L10" s="60">
        <f>J10/K10</f>
        <v>0.60778513466100581</v>
      </c>
    </row>
    <row r="11" spans="1:12" ht="21.75" customHeight="1" x14ac:dyDescent="0.25">
      <c r="A11" s="7" t="s">
        <v>10</v>
      </c>
      <c r="B11" s="38" t="s">
        <v>11</v>
      </c>
      <c r="C11" s="18">
        <f>C12</f>
        <v>355696</v>
      </c>
      <c r="D11" s="18">
        <f>D12</f>
        <v>209429</v>
      </c>
      <c r="E11" s="19">
        <f>D11/C11*100</f>
        <v>58.878649183572485</v>
      </c>
      <c r="F11" s="19">
        <f>D11/235493*100</f>
        <v>88.932155095905188</v>
      </c>
      <c r="H11" s="45">
        <f>100-F11</f>
        <v>11.067844904094812</v>
      </c>
      <c r="I11" s="59">
        <v>63610</v>
      </c>
      <c r="J11" s="59">
        <v>20609</v>
      </c>
      <c r="L11" s="60">
        <f>J11/45027</f>
        <v>0.4577031558842472</v>
      </c>
    </row>
    <row r="12" spans="1:12" ht="21.75" customHeight="1" x14ac:dyDescent="0.25">
      <c r="A12" s="10">
        <v>1</v>
      </c>
      <c r="B12" s="39" t="s">
        <v>76</v>
      </c>
      <c r="C12" s="12">
        <f>120696+235000</f>
        <v>355696</v>
      </c>
      <c r="D12" s="12">
        <f>75243+134186</f>
        <v>209429</v>
      </c>
      <c r="E12" s="14">
        <f>D12/C12*100</f>
        <v>58.878649183572485</v>
      </c>
      <c r="F12" s="14">
        <f>D12/180857*100</f>
        <v>115.79811674416804</v>
      </c>
      <c r="I12" s="51">
        <f>I11+I10</f>
        <v>95532</v>
      </c>
      <c r="J12" s="51">
        <f>SUM(J10:J11)</f>
        <v>209429</v>
      </c>
    </row>
    <row r="13" spans="1:12" ht="21.75" customHeight="1" x14ac:dyDescent="0.25">
      <c r="A13" s="10">
        <v>2</v>
      </c>
      <c r="B13" s="39" t="s">
        <v>13</v>
      </c>
      <c r="C13" s="12"/>
      <c r="D13" s="12"/>
      <c r="E13" s="14"/>
      <c r="F13" s="12"/>
      <c r="I13" s="1">
        <f>120696+189973</f>
        <v>310669</v>
      </c>
    </row>
    <row r="14" spans="1:12" s="17" customFormat="1" ht="21.75" customHeight="1" x14ac:dyDescent="0.25">
      <c r="A14" s="56" t="s">
        <v>14</v>
      </c>
      <c r="B14" s="38" t="s">
        <v>27</v>
      </c>
      <c r="C14" s="13">
        <v>77868</v>
      </c>
      <c r="D14" s="13">
        <v>58992</v>
      </c>
      <c r="E14" s="16">
        <f t="shared" ref="E14" si="0">D14/C14*100</f>
        <v>75.758976729850517</v>
      </c>
      <c r="F14" s="16">
        <f>D14/54636*100</f>
        <v>107.97276520975181</v>
      </c>
      <c r="I14" s="61">
        <f>I12/I13</f>
        <v>0.30750412818787842</v>
      </c>
    </row>
    <row r="15" spans="1:12" s="17" customFormat="1" ht="21.75" customHeight="1" x14ac:dyDescent="0.25">
      <c r="A15" s="7" t="s">
        <v>22</v>
      </c>
      <c r="B15" s="38" t="s">
        <v>28</v>
      </c>
      <c r="C15" s="13">
        <v>168023</v>
      </c>
      <c r="D15" s="13">
        <v>365696</v>
      </c>
      <c r="E15" s="16">
        <f>D15/C15*100</f>
        <v>217.64639364848861</v>
      </c>
      <c r="F15" s="16">
        <f>D15/107619*100</f>
        <v>339.80616805582656</v>
      </c>
    </row>
    <row r="16" spans="1:12" s="17" customFormat="1" ht="21.75" customHeight="1" x14ac:dyDescent="0.25">
      <c r="A16" s="55" t="s">
        <v>68</v>
      </c>
      <c r="B16" s="38" t="s">
        <v>86</v>
      </c>
      <c r="C16" s="13">
        <v>68250</v>
      </c>
      <c r="D16" s="13"/>
      <c r="E16" s="16"/>
      <c r="F16" s="16"/>
    </row>
    <row r="17" spans="1:9" ht="21.75" customHeight="1" x14ac:dyDescent="0.25">
      <c r="A17" s="7" t="s">
        <v>88</v>
      </c>
      <c r="B17" s="38" t="s">
        <v>15</v>
      </c>
      <c r="C17" s="15"/>
      <c r="D17" s="13">
        <v>334211</v>
      </c>
      <c r="E17" s="14"/>
      <c r="F17" s="13"/>
    </row>
    <row r="18" spans="1:9" ht="21.75" customHeight="1" x14ac:dyDescent="0.25">
      <c r="A18" s="7" t="s">
        <v>7</v>
      </c>
      <c r="B18" s="38" t="s">
        <v>16</v>
      </c>
      <c r="C18" s="13">
        <f>C19+C25+C26</f>
        <v>665837</v>
      </c>
      <c r="D18" s="13">
        <f>D19+D25+D26</f>
        <v>286451</v>
      </c>
      <c r="E18" s="16">
        <f>D18/C18*100</f>
        <v>43.021189870794203</v>
      </c>
      <c r="F18" s="16">
        <f>D18/269660*100</f>
        <v>106.22672995624119</v>
      </c>
    </row>
    <row r="19" spans="1:9" s="17" customFormat="1" ht="21.75" customHeight="1" x14ac:dyDescent="0.25">
      <c r="A19" s="7" t="s">
        <v>17</v>
      </c>
      <c r="B19" s="38" t="s">
        <v>18</v>
      </c>
      <c r="C19" s="13">
        <f>SUM(C20:C24)</f>
        <v>497814</v>
      </c>
      <c r="D19" s="13">
        <f>SUM(D20:D24)</f>
        <v>230473</v>
      </c>
      <c r="E19" s="16">
        <f>D19/C19*100</f>
        <v>46.297010530037326</v>
      </c>
      <c r="F19" s="16">
        <f>D19/208773*100</f>
        <v>110.39406436656081</v>
      </c>
    </row>
    <row r="20" spans="1:9" ht="18" customHeight="1" x14ac:dyDescent="0.25">
      <c r="A20" s="10">
        <v>1</v>
      </c>
      <c r="B20" s="39" t="s">
        <v>19</v>
      </c>
      <c r="C20" s="12">
        <v>60910</v>
      </c>
      <c r="D20" s="12">
        <v>34676</v>
      </c>
      <c r="E20" s="14">
        <f>D20/C20*100</f>
        <v>56.929896568707925</v>
      </c>
      <c r="F20" s="14">
        <f>D20/37325*100</f>
        <v>92.90288010716678</v>
      </c>
    </row>
    <row r="21" spans="1:9" ht="18" customHeight="1" x14ac:dyDescent="0.25">
      <c r="A21" s="10">
        <v>2</v>
      </c>
      <c r="B21" s="39" t="s">
        <v>20</v>
      </c>
      <c r="C21" s="12">
        <v>426955</v>
      </c>
      <c r="D21" s="12">
        <v>195374</v>
      </c>
      <c r="E21" s="14">
        <f>D21/C21*100</f>
        <v>45.759857596233793</v>
      </c>
      <c r="F21" s="14">
        <f>D21/171448*100</f>
        <v>113.95525173813634</v>
      </c>
    </row>
    <row r="22" spans="1:9" ht="30.75" hidden="1" customHeight="1" x14ac:dyDescent="0.25">
      <c r="A22" s="10"/>
      <c r="B22" s="39"/>
      <c r="C22" s="12"/>
      <c r="D22" s="12"/>
      <c r="E22" s="14"/>
      <c r="F22" s="14"/>
    </row>
    <row r="23" spans="1:9" ht="18" customHeight="1" x14ac:dyDescent="0.25">
      <c r="A23" s="10">
        <v>3</v>
      </c>
      <c r="B23" s="39" t="s">
        <v>77</v>
      </c>
      <c r="C23" s="12">
        <v>9949</v>
      </c>
      <c r="D23" s="12">
        <v>423</v>
      </c>
      <c r="E23" s="14">
        <f t="shared" ref="E23" si="1">D23/C23*100</f>
        <v>4.2516835862900795</v>
      </c>
      <c r="F23" s="14"/>
    </row>
    <row r="24" spans="1:9" ht="18" customHeight="1" x14ac:dyDescent="0.25">
      <c r="A24" s="10">
        <v>4</v>
      </c>
      <c r="B24" s="39" t="s">
        <v>81</v>
      </c>
      <c r="C24" s="12">
        <v>0</v>
      </c>
      <c r="D24" s="12"/>
      <c r="E24" s="14"/>
      <c r="F24" s="14">
        <f>D24/1415*100</f>
        <v>0</v>
      </c>
    </row>
    <row r="25" spans="1:9" ht="27.75" customHeight="1" x14ac:dyDescent="0.25">
      <c r="A25" s="7" t="s">
        <v>22</v>
      </c>
      <c r="B25" s="38" t="s">
        <v>23</v>
      </c>
      <c r="C25" s="13">
        <v>168023</v>
      </c>
      <c r="D25" s="13">
        <v>55978</v>
      </c>
      <c r="E25" s="19">
        <f>D25/C25*100</f>
        <v>33.315677020407918</v>
      </c>
      <c r="F25" s="16">
        <f>D25/60887*100</f>
        <v>91.937523609309039</v>
      </c>
      <c r="H25" s="83">
        <f>100-F25</f>
        <v>8.0624763906909607</v>
      </c>
    </row>
    <row r="26" spans="1:9" s="17" customFormat="1" ht="21.75" customHeight="1" x14ac:dyDescent="0.25">
      <c r="A26" s="37" t="s">
        <v>68</v>
      </c>
      <c r="B26" s="40" t="s">
        <v>78</v>
      </c>
      <c r="C26" s="30"/>
      <c r="D26" s="30"/>
      <c r="E26" s="44"/>
      <c r="F26" s="16">
        <f>D26/2298*100</f>
        <v>0</v>
      </c>
      <c r="I26" s="17">
        <f>6980-6955</f>
        <v>25</v>
      </c>
    </row>
    <row r="27" spans="1:9" x14ac:dyDescent="0.25">
      <c r="A27" s="3"/>
    </row>
    <row r="28" spans="1:9" x14ac:dyDescent="0.25">
      <c r="A28" s="3"/>
    </row>
  </sheetData>
  <mergeCells count="11">
    <mergeCell ref="A1:B1"/>
    <mergeCell ref="A2:B2"/>
    <mergeCell ref="E2:F2"/>
    <mergeCell ref="A7:A8"/>
    <mergeCell ref="B7:B8"/>
    <mergeCell ref="C7:C8"/>
    <mergeCell ref="D7:D8"/>
    <mergeCell ref="E7:F7"/>
    <mergeCell ref="A4:F4"/>
    <mergeCell ref="E6:F6"/>
    <mergeCell ref="A5:F5"/>
  </mergeCells>
  <pageMargins left="0.5" right="0.2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F31" sqref="F31"/>
    </sheetView>
  </sheetViews>
  <sheetFormatPr defaultRowHeight="15.75" x14ac:dyDescent="0.25"/>
  <cols>
    <col min="1" max="1" width="6.5703125" style="1" customWidth="1"/>
    <col min="2" max="2" width="52.28515625" style="1" customWidth="1"/>
    <col min="3" max="3" width="11.5703125" style="1" customWidth="1"/>
    <col min="4" max="4" width="10.85546875" style="1" customWidth="1"/>
    <col min="5" max="5" width="11.7109375" style="1" customWidth="1"/>
    <col min="6" max="6" width="11.5703125" style="1" customWidth="1"/>
    <col min="7" max="16384" width="9.140625" style="1"/>
  </cols>
  <sheetData>
    <row r="1" spans="1:6" x14ac:dyDescent="0.25">
      <c r="A1" s="62" t="s">
        <v>24</v>
      </c>
      <c r="B1" s="62"/>
    </row>
    <row r="2" spans="1:6" x14ac:dyDescent="0.25">
      <c r="A2" s="63" t="s">
        <v>25</v>
      </c>
      <c r="B2" s="63"/>
      <c r="E2" s="64" t="s">
        <v>75</v>
      </c>
      <c r="F2" s="64"/>
    </row>
    <row r="4" spans="1:6" ht="21.75" customHeight="1" x14ac:dyDescent="0.25">
      <c r="A4" s="66" t="s">
        <v>92</v>
      </c>
      <c r="B4" s="66"/>
      <c r="C4" s="66"/>
      <c r="D4" s="66"/>
      <c r="E4" s="66"/>
      <c r="F4" s="66"/>
    </row>
    <row r="5" spans="1:6" s="43" customFormat="1" ht="21.75" customHeight="1" x14ac:dyDescent="0.25">
      <c r="A5" s="71" t="s">
        <v>91</v>
      </c>
      <c r="B5" s="71"/>
      <c r="C5" s="71"/>
      <c r="D5" s="71"/>
      <c r="E5" s="71"/>
      <c r="F5" s="71"/>
    </row>
    <row r="6" spans="1:6" ht="23.25" customHeight="1" x14ac:dyDescent="0.25">
      <c r="A6" s="20"/>
      <c r="E6" s="70" t="s">
        <v>1</v>
      </c>
      <c r="F6" s="70"/>
    </row>
    <row r="7" spans="1:6" ht="31.5" customHeight="1" x14ac:dyDescent="0.25">
      <c r="A7" s="65" t="s">
        <v>2</v>
      </c>
      <c r="B7" s="65" t="s">
        <v>3</v>
      </c>
      <c r="C7" s="65" t="s">
        <v>85</v>
      </c>
      <c r="D7" s="65" t="s">
        <v>93</v>
      </c>
      <c r="E7" s="65" t="s">
        <v>80</v>
      </c>
      <c r="F7" s="65"/>
    </row>
    <row r="8" spans="1:6" ht="38.25" customHeight="1" x14ac:dyDescent="0.25">
      <c r="A8" s="65"/>
      <c r="B8" s="65"/>
      <c r="C8" s="65"/>
      <c r="D8" s="65"/>
      <c r="E8" s="7" t="s">
        <v>4</v>
      </c>
      <c r="F8" s="7" t="s">
        <v>5</v>
      </c>
    </row>
    <row r="9" spans="1:6" x14ac:dyDescent="0.25">
      <c r="A9" s="10" t="s">
        <v>6</v>
      </c>
      <c r="B9" s="10" t="s">
        <v>7</v>
      </c>
      <c r="C9" s="10">
        <v>1</v>
      </c>
      <c r="D9" s="10">
        <v>2</v>
      </c>
      <c r="E9" s="10" t="s">
        <v>8</v>
      </c>
      <c r="F9" s="10">
        <v>4</v>
      </c>
    </row>
    <row r="10" spans="1:6" ht="21.75" customHeight="1" x14ac:dyDescent="0.25">
      <c r="A10" s="7" t="s">
        <v>6</v>
      </c>
      <c r="B10" s="9" t="s">
        <v>79</v>
      </c>
      <c r="C10" s="41">
        <f>C11</f>
        <v>235000</v>
      </c>
      <c r="D10" s="41">
        <f>D11</f>
        <v>134186</v>
      </c>
      <c r="E10" s="42">
        <f>D10/C10*100</f>
        <v>57.100425531914887</v>
      </c>
      <c r="F10" s="26">
        <f>D10/128418*100</f>
        <v>104.49158217695339</v>
      </c>
    </row>
    <row r="11" spans="1:6" ht="21.75" customHeight="1" x14ac:dyDescent="0.25">
      <c r="A11" s="7" t="s">
        <v>10</v>
      </c>
      <c r="B11" s="9" t="s">
        <v>12</v>
      </c>
      <c r="C11" s="23">
        <f>SUM(C12:C19)+C26+C27</f>
        <v>235000</v>
      </c>
      <c r="D11" s="23">
        <f>SUM(D12:D19)+D26+D27</f>
        <v>134186</v>
      </c>
      <c r="E11" s="26">
        <f>D11/C11*100</f>
        <v>57.100425531914887</v>
      </c>
      <c r="F11" s="26">
        <f>D11/128418*100</f>
        <v>104.49158217695339</v>
      </c>
    </row>
    <row r="12" spans="1:6" ht="21.75" customHeight="1" x14ac:dyDescent="0.25">
      <c r="A12" s="10">
        <v>1</v>
      </c>
      <c r="B12" s="11" t="s">
        <v>29</v>
      </c>
      <c r="C12" s="24"/>
      <c r="D12" s="24"/>
      <c r="E12" s="24"/>
      <c r="F12" s="24"/>
    </row>
    <row r="13" spans="1:6" ht="21.75" customHeight="1" x14ac:dyDescent="0.25">
      <c r="A13" s="10">
        <v>2</v>
      </c>
      <c r="B13" s="11" t="s">
        <v>30</v>
      </c>
      <c r="C13" s="24"/>
      <c r="D13" s="24"/>
      <c r="E13" s="24"/>
      <c r="F13" s="24"/>
    </row>
    <row r="14" spans="1:6" ht="21.75" customHeight="1" x14ac:dyDescent="0.25">
      <c r="A14" s="10">
        <v>3</v>
      </c>
      <c r="B14" s="11" t="s">
        <v>31</v>
      </c>
      <c r="C14" s="24">
        <v>121130</v>
      </c>
      <c r="D14" s="24">
        <v>55125</v>
      </c>
      <c r="E14" s="22">
        <f>D14/C14*100</f>
        <v>45.508957318583342</v>
      </c>
      <c r="F14" s="22">
        <f>D14/71762*100</f>
        <v>76.81642094701931</v>
      </c>
    </row>
    <row r="15" spans="1:6" ht="21.75" customHeight="1" x14ac:dyDescent="0.25">
      <c r="A15" s="10">
        <v>4</v>
      </c>
      <c r="B15" s="11" t="s">
        <v>32</v>
      </c>
      <c r="C15" s="24">
        <v>40000</v>
      </c>
      <c r="D15" s="24">
        <v>15057</v>
      </c>
      <c r="E15" s="22">
        <f>D15/C15*100</f>
        <v>37.642499999999998</v>
      </c>
      <c r="F15" s="22">
        <f>D15/21116*100</f>
        <v>71.306118583064972</v>
      </c>
    </row>
    <row r="16" spans="1:6" ht="21.75" customHeight="1" x14ac:dyDescent="0.25">
      <c r="A16" s="10">
        <v>5</v>
      </c>
      <c r="B16" s="11" t="s">
        <v>33</v>
      </c>
      <c r="C16" s="24"/>
      <c r="D16" s="24"/>
      <c r="E16" s="22">
        <v>0</v>
      </c>
      <c r="F16" s="22"/>
    </row>
    <row r="17" spans="1:9" ht="21.75" customHeight="1" x14ac:dyDescent="0.25">
      <c r="A17" s="10">
        <v>6</v>
      </c>
      <c r="B17" s="11" t="s">
        <v>34</v>
      </c>
      <c r="C17" s="24">
        <v>21500</v>
      </c>
      <c r="D17" s="24">
        <v>12425</v>
      </c>
      <c r="E17" s="22">
        <f t="shared" ref="E17:E31" si="0">D17/C17*100</f>
        <v>57.790697674418603</v>
      </c>
      <c r="F17" s="22">
        <f>D17/10450*100</f>
        <v>118.89952153110048</v>
      </c>
    </row>
    <row r="18" spans="1:9" ht="21.75" customHeight="1" x14ac:dyDescent="0.25">
      <c r="A18" s="10">
        <v>7</v>
      </c>
      <c r="B18" s="11" t="s">
        <v>35</v>
      </c>
      <c r="C18" s="24">
        <v>3300</v>
      </c>
      <c r="D18" s="24">
        <v>2615</v>
      </c>
      <c r="E18" s="22">
        <f t="shared" si="0"/>
        <v>79.242424242424249</v>
      </c>
      <c r="F18" s="22">
        <f>D18/2323*100</f>
        <v>112.56995264743865</v>
      </c>
    </row>
    <row r="19" spans="1:9" ht="21.75" customHeight="1" x14ac:dyDescent="0.25">
      <c r="A19" s="10">
        <v>8</v>
      </c>
      <c r="B19" s="11" t="s">
        <v>36</v>
      </c>
      <c r="C19" s="24">
        <f>C20+C21+C22+C23</f>
        <v>36620</v>
      </c>
      <c r="D19" s="24">
        <f t="shared" ref="D19" si="1">D20+D21+D22+D23</f>
        <v>35197</v>
      </c>
      <c r="E19" s="22">
        <f t="shared" si="0"/>
        <v>96.114145275805569</v>
      </c>
      <c r="F19" s="22">
        <f>D19/15634*100</f>
        <v>225.13112447230395</v>
      </c>
    </row>
    <row r="20" spans="1:9" ht="21.75" customHeight="1" x14ac:dyDescent="0.25">
      <c r="A20" s="10" t="s">
        <v>37</v>
      </c>
      <c r="B20" s="21" t="s">
        <v>38</v>
      </c>
      <c r="C20" s="48"/>
      <c r="D20" s="48">
        <v>9</v>
      </c>
      <c r="E20" s="49">
        <v>0</v>
      </c>
      <c r="F20" s="49"/>
    </row>
    <row r="21" spans="1:9" ht="21.75" customHeight="1" x14ac:dyDescent="0.25">
      <c r="A21" s="10" t="s">
        <v>37</v>
      </c>
      <c r="B21" s="21" t="s">
        <v>39</v>
      </c>
      <c r="C21" s="48">
        <v>120</v>
      </c>
      <c r="D21" s="48">
        <v>78</v>
      </c>
      <c r="E21" s="49">
        <f t="shared" si="0"/>
        <v>65</v>
      </c>
      <c r="F21" s="49">
        <f>D21/76*100</f>
        <v>102.63157894736842</v>
      </c>
    </row>
    <row r="22" spans="1:9" ht="21.75" customHeight="1" x14ac:dyDescent="0.25">
      <c r="A22" s="10" t="s">
        <v>37</v>
      </c>
      <c r="B22" s="21" t="s">
        <v>47</v>
      </c>
      <c r="C22" s="48">
        <v>32000</v>
      </c>
      <c r="D22" s="48">
        <v>29357</v>
      </c>
      <c r="E22" s="49">
        <f t="shared" si="0"/>
        <v>91.740624999999994</v>
      </c>
      <c r="F22" s="49">
        <f>D22/12188*100</f>
        <v>240.86806695109945</v>
      </c>
    </row>
    <row r="23" spans="1:9" ht="21.75" customHeight="1" x14ac:dyDescent="0.25">
      <c r="A23" s="10" t="s">
        <v>37</v>
      </c>
      <c r="B23" s="21" t="s">
        <v>40</v>
      </c>
      <c r="C23" s="48">
        <v>4500</v>
      </c>
      <c r="D23" s="48">
        <v>5753</v>
      </c>
      <c r="E23" s="49">
        <f t="shared" si="0"/>
        <v>127.84444444444445</v>
      </c>
      <c r="F23" s="49">
        <f>D23/3370*100</f>
        <v>170.71216617210683</v>
      </c>
    </row>
    <row r="24" spans="1:9" ht="24" customHeight="1" x14ac:dyDescent="0.25">
      <c r="A24" s="10" t="s">
        <v>37</v>
      </c>
      <c r="B24" s="21" t="s">
        <v>41</v>
      </c>
      <c r="C24" s="48"/>
      <c r="D24" s="48"/>
      <c r="E24" s="49">
        <v>0</v>
      </c>
      <c r="F24" s="49"/>
    </row>
    <row r="25" spans="1:9" ht="21.75" hidden="1" customHeight="1" x14ac:dyDescent="0.25">
      <c r="A25" s="10">
        <v>9</v>
      </c>
      <c r="B25" s="11" t="s">
        <v>42</v>
      </c>
      <c r="C25" s="24">
        <v>0</v>
      </c>
      <c r="D25" s="24">
        <v>0</v>
      </c>
      <c r="E25" s="25">
        <v>0</v>
      </c>
      <c r="F25" s="25">
        <v>0</v>
      </c>
    </row>
    <row r="26" spans="1:9" ht="21.75" customHeight="1" x14ac:dyDescent="0.25">
      <c r="A26" s="10">
        <v>9</v>
      </c>
      <c r="B26" s="11" t="s">
        <v>43</v>
      </c>
      <c r="C26" s="24">
        <v>12000</v>
      </c>
      <c r="D26" s="24">
        <v>13307</v>
      </c>
      <c r="E26" s="25">
        <f t="shared" si="0"/>
        <v>110.89166666666668</v>
      </c>
      <c r="F26" s="25">
        <f>D26/6883*100</f>
        <v>193.33139619352028</v>
      </c>
    </row>
    <row r="27" spans="1:9" ht="21.75" customHeight="1" x14ac:dyDescent="0.25">
      <c r="A27" s="10">
        <v>10</v>
      </c>
      <c r="B27" s="11" t="s">
        <v>48</v>
      </c>
      <c r="C27" s="24">
        <v>450</v>
      </c>
      <c r="D27" s="24">
        <v>460</v>
      </c>
      <c r="E27" s="25">
        <f t="shared" si="0"/>
        <v>102.22222222222221</v>
      </c>
      <c r="F27" s="25">
        <f>D27/250*100</f>
        <v>184</v>
      </c>
    </row>
    <row r="28" spans="1:9" ht="21.75" customHeight="1" x14ac:dyDescent="0.25">
      <c r="A28" s="7" t="s">
        <v>14</v>
      </c>
      <c r="B28" s="9" t="s">
        <v>13</v>
      </c>
      <c r="C28" s="24"/>
      <c r="D28" s="24"/>
      <c r="E28" s="25">
        <v>0</v>
      </c>
      <c r="F28" s="25"/>
    </row>
    <row r="29" spans="1:9" ht="33.75" customHeight="1" x14ac:dyDescent="0.25">
      <c r="A29" s="7" t="s">
        <v>7</v>
      </c>
      <c r="B29" s="9" t="s">
        <v>44</v>
      </c>
      <c r="C29" s="23">
        <f>C30+C31</f>
        <v>355696</v>
      </c>
      <c r="D29" s="23">
        <f t="shared" ref="D29" si="2">D30+D31</f>
        <v>209429</v>
      </c>
      <c r="E29" s="26">
        <f t="shared" si="0"/>
        <v>58.878649183572485</v>
      </c>
      <c r="F29" s="26">
        <f>D29/180857*100</f>
        <v>115.79811674416804</v>
      </c>
      <c r="I29" s="45"/>
    </row>
    <row r="30" spans="1:9" ht="21.75" customHeight="1" x14ac:dyDescent="0.25">
      <c r="A30" s="10">
        <v>1</v>
      </c>
      <c r="B30" s="11" t="s">
        <v>45</v>
      </c>
      <c r="C30" s="24">
        <v>120696</v>
      </c>
      <c r="D30" s="24">
        <v>75243</v>
      </c>
      <c r="E30" s="25">
        <f t="shared" si="0"/>
        <v>62.3409226486379</v>
      </c>
      <c r="F30" s="25">
        <f>D30/52439*100</f>
        <v>143.48671790079902</v>
      </c>
    </row>
    <row r="31" spans="1:9" ht="21.75" customHeight="1" x14ac:dyDescent="0.25">
      <c r="A31" s="10">
        <v>2</v>
      </c>
      <c r="B31" s="11" t="s">
        <v>46</v>
      </c>
      <c r="C31" s="24">
        <v>235000</v>
      </c>
      <c r="D31" s="24">
        <v>134186</v>
      </c>
      <c r="E31" s="22">
        <f t="shared" si="0"/>
        <v>57.100425531914887</v>
      </c>
      <c r="F31" s="22">
        <f>D31/128418*100</f>
        <v>104.49158217695339</v>
      </c>
    </row>
    <row r="32" spans="1:9" x14ac:dyDescent="0.25">
      <c r="A32" s="2"/>
    </row>
  </sheetData>
  <mergeCells count="11">
    <mergeCell ref="A1:B1"/>
    <mergeCell ref="A2:B2"/>
    <mergeCell ref="E2:F2"/>
    <mergeCell ref="A7:A8"/>
    <mergeCell ref="B7:B8"/>
    <mergeCell ref="C7:C8"/>
    <mergeCell ref="D7:D8"/>
    <mergeCell ref="E7:F7"/>
    <mergeCell ref="A4:F4"/>
    <mergeCell ref="E6:F6"/>
    <mergeCell ref="A5:F5"/>
  </mergeCells>
  <pageMargins left="0.25" right="0.25" top="0.75" bottom="0.75" header="0.3" footer="0.3"/>
  <pageSetup paperSize="9" scale="9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F43" sqref="F43"/>
    </sheetView>
  </sheetViews>
  <sheetFormatPr defaultRowHeight="15.75" x14ac:dyDescent="0.25"/>
  <cols>
    <col min="1" max="1" width="5.140625" style="1" customWidth="1"/>
    <col min="2" max="2" width="56.7109375" style="1" customWidth="1"/>
    <col min="3" max="3" width="11.5703125" style="1" customWidth="1"/>
    <col min="4" max="4" width="12" style="1" customWidth="1"/>
    <col min="5" max="5" width="11.5703125" style="1" customWidth="1"/>
    <col min="6" max="6" width="12.42578125" style="1" customWidth="1"/>
    <col min="7" max="7" width="9.140625" style="1"/>
    <col min="8" max="8" width="15.140625" style="1" bestFit="1" customWidth="1"/>
    <col min="9" max="16384" width="9.140625" style="1"/>
  </cols>
  <sheetData>
    <row r="1" spans="1:8" x14ac:dyDescent="0.25">
      <c r="A1" s="62" t="s">
        <v>24</v>
      </c>
      <c r="B1" s="62"/>
    </row>
    <row r="2" spans="1:8" x14ac:dyDescent="0.25">
      <c r="A2" s="63" t="s">
        <v>25</v>
      </c>
      <c r="B2" s="63"/>
      <c r="E2" s="64" t="s">
        <v>63</v>
      </c>
      <c r="F2" s="64"/>
    </row>
    <row r="4" spans="1:8" ht="21.75" customHeight="1" x14ac:dyDescent="0.25">
      <c r="A4" s="78" t="s">
        <v>94</v>
      </c>
      <c r="B4" s="78"/>
      <c r="C4" s="78"/>
      <c r="D4" s="78"/>
      <c r="E4" s="78"/>
      <c r="F4" s="78"/>
    </row>
    <row r="5" spans="1:8" s="43" customFormat="1" ht="21.75" customHeight="1" x14ac:dyDescent="0.25">
      <c r="A5" s="71" t="s">
        <v>95</v>
      </c>
      <c r="B5" s="71"/>
      <c r="C5" s="71"/>
      <c r="D5" s="71"/>
      <c r="E5" s="71"/>
      <c r="F5" s="71"/>
    </row>
    <row r="6" spans="1:8" ht="24" customHeight="1" x14ac:dyDescent="0.25">
      <c r="A6" s="20"/>
      <c r="E6" s="79" t="s">
        <v>1</v>
      </c>
      <c r="F6" s="79"/>
    </row>
    <row r="7" spans="1:8" ht="32.25" customHeight="1" x14ac:dyDescent="0.25">
      <c r="A7" s="65" t="s">
        <v>2</v>
      </c>
      <c r="B7" s="65" t="s">
        <v>3</v>
      </c>
      <c r="C7" s="65" t="s">
        <v>85</v>
      </c>
      <c r="D7" s="65" t="s">
        <v>96</v>
      </c>
      <c r="E7" s="65" t="s">
        <v>80</v>
      </c>
      <c r="F7" s="65"/>
    </row>
    <row r="8" spans="1:8" ht="31.5" customHeight="1" x14ac:dyDescent="0.25">
      <c r="A8" s="65"/>
      <c r="B8" s="65"/>
      <c r="C8" s="65"/>
      <c r="D8" s="65"/>
      <c r="E8" s="65" t="s">
        <v>4</v>
      </c>
      <c r="F8" s="80" t="s">
        <v>82</v>
      </c>
    </row>
    <row r="9" spans="1:8" ht="10.5" customHeight="1" x14ac:dyDescent="0.25">
      <c r="A9" s="65"/>
      <c r="B9" s="65"/>
      <c r="C9" s="65"/>
      <c r="D9" s="65"/>
      <c r="E9" s="65"/>
      <c r="F9" s="81"/>
    </row>
    <row r="10" spans="1:8" s="5" customFormat="1" ht="18.75" customHeight="1" x14ac:dyDescent="0.25">
      <c r="A10" s="27" t="s">
        <v>6</v>
      </c>
      <c r="B10" s="27" t="s">
        <v>7</v>
      </c>
      <c r="C10" s="27">
        <v>1</v>
      </c>
      <c r="D10" s="27">
        <v>2</v>
      </c>
      <c r="E10" s="27" t="s">
        <v>8</v>
      </c>
      <c r="F10" s="27">
        <v>4</v>
      </c>
    </row>
    <row r="11" spans="1:8" ht="20.25" customHeight="1" x14ac:dyDescent="0.25">
      <c r="A11" s="33"/>
      <c r="B11" s="9" t="s">
        <v>16</v>
      </c>
      <c r="C11" s="13">
        <f>C12+C39+C43</f>
        <v>665837</v>
      </c>
      <c r="D11" s="13">
        <f>D12+D39+D43</f>
        <v>286451</v>
      </c>
      <c r="E11" s="16">
        <f>D11/C11*100</f>
        <v>43.021189870794203</v>
      </c>
      <c r="F11" s="16">
        <f>D11/269660*100</f>
        <v>106.22672995624119</v>
      </c>
      <c r="H11" s="51">
        <f>528270-C11</f>
        <v>-137567</v>
      </c>
    </row>
    <row r="12" spans="1:8" s="17" customFormat="1" ht="20.25" customHeight="1" x14ac:dyDescent="0.25">
      <c r="A12" s="33" t="s">
        <v>6</v>
      </c>
      <c r="B12" s="9" t="s">
        <v>49</v>
      </c>
      <c r="C12" s="13">
        <f>C13+C20+C36+C37+C38</f>
        <v>497814</v>
      </c>
      <c r="D12" s="13">
        <f>D13+D20+D36+D37+D38</f>
        <v>230473</v>
      </c>
      <c r="E12" s="16">
        <f>D12/C12*100</f>
        <v>46.297010530037326</v>
      </c>
      <c r="F12" s="16">
        <f>D12/208773*100</f>
        <v>110.39406436656081</v>
      </c>
    </row>
    <row r="13" spans="1:8" ht="20.25" customHeight="1" x14ac:dyDescent="0.25">
      <c r="A13" s="33" t="s">
        <v>10</v>
      </c>
      <c r="B13" s="9" t="s">
        <v>19</v>
      </c>
      <c r="C13" s="13">
        <f>SUM(C14:C19)</f>
        <v>60910</v>
      </c>
      <c r="D13" s="13">
        <f>SUM(D14:D19)</f>
        <v>34676</v>
      </c>
      <c r="E13" s="16">
        <f>D13/C13*100</f>
        <v>56.929896568707925</v>
      </c>
      <c r="F13" s="16">
        <f>D13/37325*100</f>
        <v>92.90288010716678</v>
      </c>
      <c r="H13" s="58">
        <f>61124+63618</f>
        <v>124742</v>
      </c>
    </row>
    <row r="14" spans="1:8" ht="20.25" customHeight="1" x14ac:dyDescent="0.25">
      <c r="A14" s="34">
        <v>1</v>
      </c>
      <c r="B14" s="11" t="s">
        <v>64</v>
      </c>
      <c r="C14" s="12">
        <v>25910</v>
      </c>
      <c r="D14" s="12">
        <v>24895</v>
      </c>
      <c r="E14" s="14">
        <f t="shared" ref="E14:E42" si="0">D14/C14*100</f>
        <v>96.08259359320725</v>
      </c>
      <c r="F14" s="14">
        <f>D14/19628*100</f>
        <v>126.83411453026289</v>
      </c>
      <c r="H14" s="59">
        <f>120696+189973</f>
        <v>310669</v>
      </c>
    </row>
    <row r="15" spans="1:8" ht="20.25" customHeight="1" x14ac:dyDescent="0.25">
      <c r="A15" s="34">
        <v>2</v>
      </c>
      <c r="B15" s="11" t="s">
        <v>65</v>
      </c>
      <c r="C15" s="12">
        <v>32000</v>
      </c>
      <c r="D15" s="12">
        <v>6781</v>
      </c>
      <c r="E15" s="14">
        <f t="shared" si="0"/>
        <v>21.190625000000001</v>
      </c>
      <c r="F15" s="14">
        <f>D15/15697*100</f>
        <v>43.199337453016504</v>
      </c>
      <c r="H15" s="59">
        <f>31922+63618</f>
        <v>95540</v>
      </c>
    </row>
    <row r="16" spans="1:8" ht="20.25" customHeight="1" x14ac:dyDescent="0.25">
      <c r="A16" s="34">
        <v>3</v>
      </c>
      <c r="B16" s="11" t="s">
        <v>66</v>
      </c>
      <c r="C16" s="12"/>
      <c r="D16" s="12">
        <v>0</v>
      </c>
      <c r="E16" s="14"/>
      <c r="F16" s="14">
        <f>D16/2187*100</f>
        <v>0</v>
      </c>
      <c r="H16" s="60">
        <f>H15/H14</f>
        <v>0.3075298790674319</v>
      </c>
    </row>
    <row r="17" spans="1:8" ht="20.25" hidden="1" customHeight="1" x14ac:dyDescent="0.25">
      <c r="A17" s="34"/>
      <c r="B17" s="11"/>
      <c r="C17" s="12"/>
      <c r="D17" s="12"/>
      <c r="E17" s="14"/>
      <c r="F17" s="14"/>
    </row>
    <row r="18" spans="1:8" ht="20.25" customHeight="1" x14ac:dyDescent="0.25">
      <c r="A18" s="34">
        <v>4</v>
      </c>
      <c r="B18" s="11" t="s">
        <v>83</v>
      </c>
      <c r="C18" s="12">
        <v>3000</v>
      </c>
      <c r="D18" s="12">
        <v>3000</v>
      </c>
      <c r="E18" s="14">
        <f t="shared" si="0"/>
        <v>100</v>
      </c>
      <c r="F18" s="14">
        <f>D18/2000*100</f>
        <v>150</v>
      </c>
    </row>
    <row r="19" spans="1:8" ht="20.25" hidden="1" customHeight="1" x14ac:dyDescent="0.25">
      <c r="A19" s="34">
        <v>5</v>
      </c>
      <c r="B19" s="11" t="s">
        <v>97</v>
      </c>
      <c r="C19" s="12"/>
      <c r="D19" s="12"/>
      <c r="E19" s="14"/>
      <c r="F19" s="14"/>
      <c r="H19" s="1">
        <f>100-93.81</f>
        <v>6.1899999999999977</v>
      </c>
    </row>
    <row r="20" spans="1:8" s="17" customFormat="1" ht="20.25" customHeight="1" x14ac:dyDescent="0.25">
      <c r="A20" s="33" t="s">
        <v>14</v>
      </c>
      <c r="B20" s="9" t="s">
        <v>20</v>
      </c>
      <c r="C20" s="13">
        <f>SUM(C22:C35)</f>
        <v>426955</v>
      </c>
      <c r="D20" s="13">
        <f t="shared" ref="D20" si="1">SUM(D22:D34)</f>
        <v>195374</v>
      </c>
      <c r="E20" s="16">
        <f>D20/C20*100</f>
        <v>45.759857596233793</v>
      </c>
      <c r="F20" s="16">
        <f>D20/171448*100</f>
        <v>113.95525173813634</v>
      </c>
      <c r="H20" s="52">
        <f>C20+14000</f>
        <v>440955</v>
      </c>
    </row>
    <row r="21" spans="1:8" ht="20.25" customHeight="1" x14ac:dyDescent="0.25">
      <c r="A21" s="34"/>
      <c r="B21" s="21" t="s">
        <v>50</v>
      </c>
      <c r="C21" s="12"/>
      <c r="D21" s="12"/>
      <c r="E21" s="16"/>
      <c r="F21" s="14"/>
    </row>
    <row r="22" spans="1:8" ht="20.25" customHeight="1" x14ac:dyDescent="0.25">
      <c r="A22" s="34">
        <v>1</v>
      </c>
      <c r="B22" s="11" t="s">
        <v>51</v>
      </c>
      <c r="C22" s="12">
        <v>225970</v>
      </c>
      <c r="D22" s="12">
        <v>104485</v>
      </c>
      <c r="E22" s="14">
        <f t="shared" si="0"/>
        <v>46.238438730804972</v>
      </c>
      <c r="F22" s="14">
        <f>D22/88113*100</f>
        <v>118.58068616435713</v>
      </c>
    </row>
    <row r="23" spans="1:8" ht="20.25" customHeight="1" x14ac:dyDescent="0.25">
      <c r="A23" s="34">
        <v>2</v>
      </c>
      <c r="B23" s="11" t="s">
        <v>52</v>
      </c>
      <c r="C23" s="12">
        <v>117</v>
      </c>
      <c r="D23" s="12">
        <v>0</v>
      </c>
      <c r="E23" s="14">
        <f t="shared" si="0"/>
        <v>0</v>
      </c>
      <c r="F23" s="14"/>
    </row>
    <row r="24" spans="1:8" ht="20.25" customHeight="1" x14ac:dyDescent="0.25">
      <c r="A24" s="34">
        <v>3</v>
      </c>
      <c r="B24" s="11" t="s">
        <v>53</v>
      </c>
      <c r="C24" s="12">
        <v>2900</v>
      </c>
      <c r="D24" s="12">
        <v>693</v>
      </c>
      <c r="E24" s="14">
        <f t="shared" si="0"/>
        <v>23.896551724137932</v>
      </c>
      <c r="F24" s="57">
        <f>D24/1087*100</f>
        <v>63.753449862005517</v>
      </c>
    </row>
    <row r="25" spans="1:8" ht="20.25" customHeight="1" x14ac:dyDescent="0.25">
      <c r="A25" s="34">
        <v>4</v>
      </c>
      <c r="B25" s="11" t="s">
        <v>54</v>
      </c>
      <c r="C25" s="72">
        <f>6216+196</f>
        <v>6412</v>
      </c>
      <c r="D25" s="72">
        <f>2618+111+51</f>
        <v>2780</v>
      </c>
      <c r="E25" s="75">
        <f t="shared" si="0"/>
        <v>43.356207111665626</v>
      </c>
      <c r="F25" s="75">
        <f>D25/3122*100</f>
        <v>89.045483664317743</v>
      </c>
    </row>
    <row r="26" spans="1:8" ht="20.25" customHeight="1" x14ac:dyDescent="0.25">
      <c r="A26" s="34">
        <v>5</v>
      </c>
      <c r="B26" s="11" t="s">
        <v>55</v>
      </c>
      <c r="C26" s="73"/>
      <c r="D26" s="73"/>
      <c r="E26" s="76"/>
      <c r="F26" s="76"/>
    </row>
    <row r="27" spans="1:8" ht="20.25" customHeight="1" x14ac:dyDescent="0.25">
      <c r="A27" s="34">
        <v>6</v>
      </c>
      <c r="B27" s="11" t="s">
        <v>56</v>
      </c>
      <c r="C27" s="74"/>
      <c r="D27" s="74"/>
      <c r="E27" s="77"/>
      <c r="F27" s="77"/>
    </row>
    <row r="28" spans="1:8" ht="20.25" customHeight="1" x14ac:dyDescent="0.25">
      <c r="A28" s="34">
        <v>7</v>
      </c>
      <c r="B28" s="11" t="s">
        <v>57</v>
      </c>
      <c r="C28" s="12">
        <v>4650</v>
      </c>
      <c r="D28" s="12">
        <v>861</v>
      </c>
      <c r="E28" s="14">
        <f t="shared" si="0"/>
        <v>18.516129032258064</v>
      </c>
      <c r="F28" s="14">
        <f>D28/796*100</f>
        <v>108.16582914572865</v>
      </c>
    </row>
    <row r="29" spans="1:8" ht="20.25" customHeight="1" x14ac:dyDescent="0.25">
      <c r="A29" s="34">
        <v>8</v>
      </c>
      <c r="B29" s="11" t="s">
        <v>58</v>
      </c>
      <c r="C29" s="12">
        <v>25147</v>
      </c>
      <c r="D29" s="12">
        <v>6571</v>
      </c>
      <c r="E29" s="14">
        <f t="shared" si="0"/>
        <v>26.130353521294786</v>
      </c>
      <c r="F29" s="14">
        <f>D29/3346*100</f>
        <v>196.38374178123132</v>
      </c>
    </row>
    <row r="30" spans="1:8" ht="20.25" customHeight="1" x14ac:dyDescent="0.25">
      <c r="A30" s="34">
        <v>9</v>
      </c>
      <c r="B30" s="11" t="s">
        <v>59</v>
      </c>
      <c r="C30" s="12">
        <v>92250</v>
      </c>
      <c r="D30" s="12">
        <v>37705</v>
      </c>
      <c r="E30" s="14">
        <f t="shared" si="0"/>
        <v>40.87262872628726</v>
      </c>
      <c r="F30" s="14">
        <f>D30/38231*100</f>
        <v>98.624153174125709</v>
      </c>
    </row>
    <row r="31" spans="1:8" ht="20.25" customHeight="1" x14ac:dyDescent="0.25">
      <c r="A31" s="34">
        <v>10</v>
      </c>
      <c r="B31" s="11" t="s">
        <v>60</v>
      </c>
      <c r="C31" s="12">
        <v>29701</v>
      </c>
      <c r="D31" s="12">
        <v>20111</v>
      </c>
      <c r="E31" s="14">
        <f t="shared" si="0"/>
        <v>67.711524864482669</v>
      </c>
      <c r="F31" s="14">
        <f>D31/17023*100</f>
        <v>118.14016330846502</v>
      </c>
    </row>
    <row r="32" spans="1:8" ht="20.25" customHeight="1" x14ac:dyDescent="0.25">
      <c r="A32" s="34">
        <v>11</v>
      </c>
      <c r="B32" s="11" t="s">
        <v>69</v>
      </c>
      <c r="C32" s="12">
        <v>35309</v>
      </c>
      <c r="D32" s="12">
        <v>18526</v>
      </c>
      <c r="E32" s="14">
        <f t="shared" si="0"/>
        <v>52.468209238437794</v>
      </c>
      <c r="F32" s="14">
        <f>D32/17081*100</f>
        <v>108.45969205550026</v>
      </c>
    </row>
    <row r="33" spans="1:6" ht="20.25" customHeight="1" x14ac:dyDescent="0.25">
      <c r="A33" s="34">
        <v>12</v>
      </c>
      <c r="B33" s="11" t="s">
        <v>70</v>
      </c>
      <c r="C33" s="12">
        <v>1080</v>
      </c>
      <c r="D33" s="12">
        <v>513</v>
      </c>
      <c r="E33" s="14">
        <f t="shared" si="0"/>
        <v>47.5</v>
      </c>
      <c r="F33" s="14">
        <f>D33/394*100</f>
        <v>130.20304568527919</v>
      </c>
    </row>
    <row r="34" spans="1:6" ht="20.25" customHeight="1" x14ac:dyDescent="0.25">
      <c r="A34" s="34">
        <v>13</v>
      </c>
      <c r="B34" s="11" t="s">
        <v>67</v>
      </c>
      <c r="C34" s="12">
        <v>3419</v>
      </c>
      <c r="D34" s="12">
        <v>3129</v>
      </c>
      <c r="E34" s="14">
        <f t="shared" si="0"/>
        <v>91.517987715706354</v>
      </c>
      <c r="F34" s="14">
        <f>D34/2255*100</f>
        <v>138.75831485587585</v>
      </c>
    </row>
    <row r="35" spans="1:6" ht="36.75" hidden="1" customHeight="1" x14ac:dyDescent="0.25">
      <c r="A35" s="10">
        <v>14</v>
      </c>
      <c r="B35" s="53" t="s">
        <v>74</v>
      </c>
      <c r="C35" s="54"/>
      <c r="D35" s="12"/>
      <c r="E35" s="14"/>
      <c r="F35" s="14"/>
    </row>
    <row r="36" spans="1:6" ht="20.25" customHeight="1" x14ac:dyDescent="0.25">
      <c r="A36" s="33" t="s">
        <v>22</v>
      </c>
      <c r="B36" s="9" t="s">
        <v>21</v>
      </c>
      <c r="C36" s="13">
        <v>9949</v>
      </c>
      <c r="D36" s="13">
        <v>423</v>
      </c>
      <c r="E36" s="16">
        <f t="shared" si="0"/>
        <v>4.2516835862900795</v>
      </c>
      <c r="F36" s="16"/>
    </row>
    <row r="37" spans="1:6" ht="20.25" customHeight="1" x14ac:dyDescent="0.25">
      <c r="A37" s="35" t="s">
        <v>68</v>
      </c>
      <c r="B37" s="28" t="s">
        <v>81</v>
      </c>
      <c r="C37" s="50"/>
      <c r="D37" s="50"/>
      <c r="E37" s="16"/>
      <c r="F37" s="16">
        <f>D37/100</f>
        <v>0</v>
      </c>
    </row>
    <row r="38" spans="1:6" s="31" customFormat="1" ht="29.25" hidden="1" customHeight="1" x14ac:dyDescent="0.25">
      <c r="A38" s="32"/>
      <c r="B38" s="36"/>
      <c r="C38" s="30"/>
      <c r="D38" s="29"/>
      <c r="E38" s="16"/>
      <c r="F38" s="14"/>
    </row>
    <row r="39" spans="1:6" s="17" customFormat="1" ht="19.5" customHeight="1" x14ac:dyDescent="0.25">
      <c r="A39" s="33" t="s">
        <v>7</v>
      </c>
      <c r="B39" s="9" t="s">
        <v>72</v>
      </c>
      <c r="C39" s="13">
        <f>SUM(C40:C42)</f>
        <v>168023</v>
      </c>
      <c r="D39" s="13">
        <f>SUM(D40:D42)</f>
        <v>55978</v>
      </c>
      <c r="E39" s="16">
        <f t="shared" si="0"/>
        <v>33.315677020407918</v>
      </c>
      <c r="F39" s="16">
        <f>D39/60887*100</f>
        <v>91.937523609309039</v>
      </c>
    </row>
    <row r="40" spans="1:6" ht="18" customHeight="1" x14ac:dyDescent="0.25">
      <c r="A40" s="34">
        <v>1</v>
      </c>
      <c r="B40" s="11" t="s">
        <v>61</v>
      </c>
      <c r="C40" s="12"/>
      <c r="D40" s="13">
        <v>0</v>
      </c>
      <c r="E40" s="14"/>
      <c r="F40" s="14">
        <f t="shared" ref="F40" si="2">D40/1201*100</f>
        <v>0</v>
      </c>
    </row>
    <row r="41" spans="1:6" ht="18" customHeight="1" x14ac:dyDescent="0.25">
      <c r="A41" s="34">
        <v>2</v>
      </c>
      <c r="B41" s="11" t="s">
        <v>87</v>
      </c>
      <c r="C41" s="12">
        <v>148205</v>
      </c>
      <c r="D41" s="12">
        <v>54932</v>
      </c>
      <c r="E41" s="14">
        <f t="shared" si="0"/>
        <v>37.064876353699269</v>
      </c>
      <c r="F41" s="14">
        <f>D41/59092*100</f>
        <v>92.960129966831389</v>
      </c>
    </row>
    <row r="42" spans="1:6" ht="18" customHeight="1" x14ac:dyDescent="0.25">
      <c r="A42" s="34">
        <v>3</v>
      </c>
      <c r="B42" s="11" t="s">
        <v>62</v>
      </c>
      <c r="C42" s="12">
        <f>19818</f>
        <v>19818</v>
      </c>
      <c r="D42" s="12">
        <v>1046</v>
      </c>
      <c r="E42" s="14">
        <f t="shared" si="0"/>
        <v>5.2780300736704007</v>
      </c>
      <c r="F42" s="14">
        <f>D42/1795*100</f>
        <v>58.272980501392759</v>
      </c>
    </row>
    <row r="43" spans="1:6" ht="20.25" customHeight="1" x14ac:dyDescent="0.25">
      <c r="A43" s="33" t="s">
        <v>71</v>
      </c>
      <c r="B43" s="9" t="s">
        <v>73</v>
      </c>
      <c r="C43" s="13"/>
      <c r="D43" s="13"/>
      <c r="E43" s="16"/>
      <c r="F43" s="16">
        <f>D43/2342*100</f>
        <v>0</v>
      </c>
    </row>
  </sheetData>
  <mergeCells count="17">
    <mergeCell ref="A1:B1"/>
    <mergeCell ref="A2:B2"/>
    <mergeCell ref="E2:F2"/>
    <mergeCell ref="A5:F5"/>
    <mergeCell ref="A7:A9"/>
    <mergeCell ref="B7:B9"/>
    <mergeCell ref="C7:C9"/>
    <mergeCell ref="D7:D9"/>
    <mergeCell ref="E7:F7"/>
    <mergeCell ref="E8:E9"/>
    <mergeCell ref="F8:F9"/>
    <mergeCell ref="C25:C27"/>
    <mergeCell ref="D25:D27"/>
    <mergeCell ref="E25:E27"/>
    <mergeCell ref="F25:F27"/>
    <mergeCell ref="A4:F4"/>
    <mergeCell ref="E6:F6"/>
  </mergeCells>
  <pageMargins left="0.25" right="0.25" top="0.75" bottom="0.75" header="0.3" footer="0.3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 93</vt:lpstr>
      <vt:lpstr>B 94</vt:lpstr>
      <vt:lpstr>B 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P. Tai Chinh</cp:lastModifiedBy>
  <cp:lastPrinted>2024-07-08T02:12:08Z</cp:lastPrinted>
  <dcterms:created xsi:type="dcterms:W3CDTF">2018-05-20T15:07:10Z</dcterms:created>
  <dcterms:modified xsi:type="dcterms:W3CDTF">2024-07-08T03:08:30Z</dcterms:modified>
</cp:coreProperties>
</file>